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ni\3rd year\ALTERNATIVE POWERTRAIN\"/>
    </mc:Choice>
  </mc:AlternateContent>
  <bookViews>
    <workbookView xWindow="0" yWindow="0" windowWidth="28800" windowHeight="12225"/>
  </bookViews>
  <sheets>
    <sheet name="new sheet for assignment 2" sheetId="4" r:id="rId1"/>
    <sheet name="ignore" sheetId="1" r:id="rId2"/>
    <sheet name=".ignore" sheetId="2" r:id="rId3"/>
    <sheet name=".ignore.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5" i="4" l="1"/>
  <c r="O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45" i="4"/>
  <c r="J145" i="4"/>
  <c r="G145" i="4"/>
  <c r="H145" i="4"/>
  <c r="F132" i="4"/>
  <c r="N173" i="4"/>
  <c r="O173" i="4" s="1"/>
  <c r="Q173" i="4" s="1"/>
  <c r="N148" i="4"/>
  <c r="O148" i="4" s="1"/>
  <c r="Q148" i="4" s="1"/>
  <c r="J54" i="4"/>
  <c r="Q144" i="4"/>
  <c r="L195" i="4"/>
  <c r="G195" i="4"/>
  <c r="K195" i="4" s="1"/>
  <c r="L194" i="4"/>
  <c r="G194" i="4"/>
  <c r="L193" i="4"/>
  <c r="K193" i="4"/>
  <c r="G193" i="4"/>
  <c r="L192" i="4"/>
  <c r="K192" i="4"/>
  <c r="G192" i="4"/>
  <c r="H193" i="4" s="1"/>
  <c r="I193" i="4" s="1"/>
  <c r="L191" i="4"/>
  <c r="G191" i="4"/>
  <c r="K191" i="4" s="1"/>
  <c r="L190" i="4"/>
  <c r="G190" i="4"/>
  <c r="L189" i="4"/>
  <c r="N189" i="4" s="1"/>
  <c r="O189" i="4" s="1"/>
  <c r="Q189" i="4" s="1"/>
  <c r="K189" i="4"/>
  <c r="G189" i="4"/>
  <c r="L188" i="4"/>
  <c r="K188" i="4"/>
  <c r="G188" i="4"/>
  <c r="H189" i="4" s="1"/>
  <c r="I189" i="4" s="1"/>
  <c r="L187" i="4"/>
  <c r="G187" i="4"/>
  <c r="K187" i="4" s="1"/>
  <c r="L186" i="4"/>
  <c r="H186" i="4"/>
  <c r="I186" i="4" s="1"/>
  <c r="G186" i="4"/>
  <c r="K186" i="4" s="1"/>
  <c r="L185" i="4"/>
  <c r="K185" i="4"/>
  <c r="G185" i="4"/>
  <c r="L184" i="4"/>
  <c r="K184" i="4"/>
  <c r="G184" i="4"/>
  <c r="H185" i="4" s="1"/>
  <c r="I185" i="4" s="1"/>
  <c r="L183" i="4"/>
  <c r="G183" i="4"/>
  <c r="K183" i="4" s="1"/>
  <c r="L182" i="4"/>
  <c r="G182" i="4"/>
  <c r="K182" i="4" s="1"/>
  <c r="L181" i="4"/>
  <c r="K181" i="4"/>
  <c r="N181" i="4"/>
  <c r="O181" i="4" s="1"/>
  <c r="Q181" i="4" s="1"/>
  <c r="G181" i="4"/>
  <c r="L180" i="4"/>
  <c r="K180" i="4"/>
  <c r="G180" i="4"/>
  <c r="H181" i="4" s="1"/>
  <c r="I181" i="4" s="1"/>
  <c r="L179" i="4"/>
  <c r="G179" i="4"/>
  <c r="K179" i="4" s="1"/>
  <c r="L178" i="4"/>
  <c r="K178" i="4"/>
  <c r="H178" i="4"/>
  <c r="I178" i="4" s="1"/>
  <c r="G178" i="4"/>
  <c r="L177" i="4"/>
  <c r="K177" i="4"/>
  <c r="G177" i="4"/>
  <c r="L176" i="4"/>
  <c r="G176" i="4"/>
  <c r="H177" i="4" s="1"/>
  <c r="I177" i="4" s="1"/>
  <c r="L175" i="4"/>
  <c r="G175" i="4"/>
  <c r="K175" i="4" s="1"/>
  <c r="L174" i="4"/>
  <c r="G174" i="4"/>
  <c r="H175" i="4" s="1"/>
  <c r="L173" i="4"/>
  <c r="K173" i="4"/>
  <c r="I173" i="4"/>
  <c r="G173" i="4"/>
  <c r="L172" i="4"/>
  <c r="G172" i="4"/>
  <c r="H173" i="4" s="1"/>
  <c r="L171" i="4"/>
  <c r="G171" i="4"/>
  <c r="K171" i="4" s="1"/>
  <c r="L170" i="4"/>
  <c r="K170" i="4"/>
  <c r="H170" i="4"/>
  <c r="I170" i="4" s="1"/>
  <c r="G170" i="4"/>
  <c r="L169" i="4"/>
  <c r="K169" i="4"/>
  <c r="I169" i="4"/>
  <c r="G169" i="4"/>
  <c r="L168" i="4"/>
  <c r="K168" i="4"/>
  <c r="G168" i="4"/>
  <c r="H169" i="4" s="1"/>
  <c r="L167" i="4"/>
  <c r="G167" i="4"/>
  <c r="K167" i="4" s="1"/>
  <c r="L166" i="4"/>
  <c r="G166" i="4"/>
  <c r="H166" i="4" s="1"/>
  <c r="L165" i="4"/>
  <c r="K165" i="4"/>
  <c r="G165" i="4"/>
  <c r="L164" i="4"/>
  <c r="G164" i="4"/>
  <c r="H165" i="4" s="1"/>
  <c r="I165" i="4" s="1"/>
  <c r="L163" i="4"/>
  <c r="G163" i="4"/>
  <c r="K163" i="4" s="1"/>
  <c r="L162" i="4"/>
  <c r="G162" i="4"/>
  <c r="K162" i="4" s="1"/>
  <c r="L161" i="4"/>
  <c r="K161" i="4"/>
  <c r="I161" i="4"/>
  <c r="G161" i="4"/>
  <c r="L160" i="4"/>
  <c r="K160" i="4"/>
  <c r="G160" i="4"/>
  <c r="H161" i="4" s="1"/>
  <c r="L159" i="4"/>
  <c r="G159" i="4"/>
  <c r="K159" i="4" s="1"/>
  <c r="L158" i="4"/>
  <c r="K158" i="4"/>
  <c r="G158" i="4"/>
  <c r="H158" i="4" s="1"/>
  <c r="L157" i="4"/>
  <c r="K157" i="4"/>
  <c r="G157" i="4"/>
  <c r="L156" i="4"/>
  <c r="K156" i="4"/>
  <c r="H156" i="4"/>
  <c r="G156" i="4"/>
  <c r="H157" i="4" s="1"/>
  <c r="I157" i="4" s="1"/>
  <c r="L155" i="4"/>
  <c r="G155" i="4"/>
  <c r="K155" i="4" s="1"/>
  <c r="L154" i="4"/>
  <c r="G154" i="4"/>
  <c r="H154" i="4" s="1"/>
  <c r="L153" i="4"/>
  <c r="K153" i="4"/>
  <c r="G153" i="4"/>
  <c r="L152" i="4"/>
  <c r="K152" i="4"/>
  <c r="G152" i="4"/>
  <c r="H152" i="4" s="1"/>
  <c r="L151" i="4"/>
  <c r="G151" i="4"/>
  <c r="K151" i="4" s="1"/>
  <c r="F151" i="4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L150" i="4"/>
  <c r="K150" i="4"/>
  <c r="G150" i="4"/>
  <c r="H150" i="4" s="1"/>
  <c r="L149" i="4"/>
  <c r="G149" i="4"/>
  <c r="K149" i="4" s="1"/>
  <c r="L148" i="4"/>
  <c r="H148" i="4"/>
  <c r="G148" i="4"/>
  <c r="K148" i="4" s="1"/>
  <c r="L147" i="4"/>
  <c r="K147" i="4"/>
  <c r="G147" i="4"/>
  <c r="L146" i="4"/>
  <c r="G146" i="4"/>
  <c r="H146" i="4" s="1"/>
  <c r="L145" i="4"/>
  <c r="K145" i="4"/>
  <c r="S144" i="4"/>
  <c r="N144" i="4"/>
  <c r="O144" i="4" s="1"/>
  <c r="M144" i="4"/>
  <c r="J144" i="4"/>
  <c r="H144" i="4"/>
  <c r="I144" i="4" s="1"/>
  <c r="F144" i="4"/>
  <c r="D144" i="4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L118" i="4"/>
  <c r="M118" i="4" s="1"/>
  <c r="M117" i="4"/>
  <c r="L117" i="4"/>
  <c r="L116" i="4"/>
  <c r="M116" i="4"/>
  <c r="M113" i="4"/>
  <c r="L114" i="4"/>
  <c r="M114" i="4" s="1"/>
  <c r="N157" i="4" l="1"/>
  <c r="O157" i="4" s="1"/>
  <c r="Q157" i="4" s="1"/>
  <c r="N185" i="4"/>
  <c r="O185" i="4" s="1"/>
  <c r="Q185" i="4" s="1"/>
  <c r="N169" i="4"/>
  <c r="O169" i="4" s="1"/>
  <c r="Q169" i="4" s="1"/>
  <c r="N170" i="4"/>
  <c r="O170" i="4" s="1"/>
  <c r="Q170" i="4" s="1"/>
  <c r="I150" i="4"/>
  <c r="S189" i="4"/>
  <c r="I154" i="4"/>
  <c r="N175" i="4"/>
  <c r="O175" i="4" s="1"/>
  <c r="Q175" i="4" s="1"/>
  <c r="I158" i="4"/>
  <c r="I146" i="4"/>
  <c r="N158" i="4"/>
  <c r="O158" i="4" s="1"/>
  <c r="Q158" i="4" s="1"/>
  <c r="S173" i="4"/>
  <c r="S181" i="4"/>
  <c r="N145" i="4"/>
  <c r="Q145" i="4" s="1"/>
  <c r="N152" i="4"/>
  <c r="O152" i="4" s="1"/>
  <c r="Q152" i="4" s="1"/>
  <c r="I152" i="4"/>
  <c r="N150" i="4"/>
  <c r="O150" i="4" s="1"/>
  <c r="Q150" i="4" s="1"/>
  <c r="S148" i="4"/>
  <c r="N161" i="4"/>
  <c r="O161" i="4" s="1"/>
  <c r="Q161" i="4" s="1"/>
  <c r="I166" i="4"/>
  <c r="I175" i="4"/>
  <c r="I148" i="4"/>
  <c r="N177" i="4"/>
  <c r="O177" i="4" s="1"/>
  <c r="Q177" i="4" s="1"/>
  <c r="N156" i="4"/>
  <c r="O156" i="4" s="1"/>
  <c r="Q156" i="4" s="1"/>
  <c r="H159" i="4"/>
  <c r="H164" i="4"/>
  <c r="N165" i="4"/>
  <c r="O165" i="4" s="1"/>
  <c r="Q165" i="4" s="1"/>
  <c r="H183" i="4"/>
  <c r="H151" i="4"/>
  <c r="K166" i="4"/>
  <c r="N166" i="4" s="1"/>
  <c r="O166" i="4" s="1"/>
  <c r="Q166" i="4" s="1"/>
  <c r="H174" i="4"/>
  <c r="H179" i="4"/>
  <c r="N186" i="4"/>
  <c r="O186" i="4" s="1"/>
  <c r="Q186" i="4" s="1"/>
  <c r="H188" i="4"/>
  <c r="H149" i="4"/>
  <c r="K154" i="4"/>
  <c r="N154" i="4" s="1"/>
  <c r="O154" i="4" s="1"/>
  <c r="Q154" i="4" s="1"/>
  <c r="K146" i="4"/>
  <c r="N146" i="4" s="1"/>
  <c r="O146" i="4" s="1"/>
  <c r="Q146" i="4" s="1"/>
  <c r="H147" i="4"/>
  <c r="H153" i="4"/>
  <c r="H162" i="4"/>
  <c r="H167" i="4"/>
  <c r="H172" i="4"/>
  <c r="K176" i="4"/>
  <c r="N178" i="4"/>
  <c r="O178" i="4" s="1"/>
  <c r="Q178" i="4" s="1"/>
  <c r="H184" i="4"/>
  <c r="H155" i="4"/>
  <c r="H160" i="4"/>
  <c r="K164" i="4"/>
  <c r="K174" i="4"/>
  <c r="H180" i="4"/>
  <c r="K194" i="4"/>
  <c r="H194" i="4"/>
  <c r="I156" i="4"/>
  <c r="H176" i="4"/>
  <c r="N193" i="4"/>
  <c r="O193" i="4" s="1"/>
  <c r="Q193" i="4" s="1"/>
  <c r="K190" i="4"/>
  <c r="H190" i="4"/>
  <c r="H191" i="4"/>
  <c r="H195" i="4"/>
  <c r="H171" i="4"/>
  <c r="H182" i="4"/>
  <c r="H187" i="4"/>
  <c r="H163" i="4"/>
  <c r="H168" i="4"/>
  <c r="K172" i="4"/>
  <c r="H192" i="4"/>
  <c r="L115" i="4"/>
  <c r="M115" i="4" s="1"/>
  <c r="I116" i="4"/>
  <c r="S157" i="4" l="1"/>
  <c r="S169" i="4"/>
  <c r="S185" i="4"/>
  <c r="S170" i="4"/>
  <c r="S177" i="4"/>
  <c r="S178" i="4"/>
  <c r="N176" i="4"/>
  <c r="O176" i="4" s="1"/>
  <c r="Q176" i="4" s="1"/>
  <c r="S165" i="4"/>
  <c r="S154" i="4"/>
  <c r="S152" i="4"/>
  <c r="S186" i="4"/>
  <c r="S161" i="4"/>
  <c r="N151" i="4"/>
  <c r="O151" i="4" s="1"/>
  <c r="Q151" i="4" s="1"/>
  <c r="I151" i="4"/>
  <c r="S175" i="4"/>
  <c r="N184" i="4"/>
  <c r="O184" i="4" s="1"/>
  <c r="Q184" i="4" s="1"/>
  <c r="I184" i="4"/>
  <c r="S158" i="4"/>
  <c r="N187" i="4"/>
  <c r="O187" i="4" s="1"/>
  <c r="Q187" i="4" s="1"/>
  <c r="I187" i="4"/>
  <c r="I182" i="4"/>
  <c r="N182" i="4"/>
  <c r="O182" i="4" s="1"/>
  <c r="Q182" i="4" s="1"/>
  <c r="I176" i="4"/>
  <c r="I149" i="4"/>
  <c r="N149" i="4"/>
  <c r="O149" i="4" s="1"/>
  <c r="Q149" i="4" s="1"/>
  <c r="N183" i="4"/>
  <c r="O183" i="4" s="1"/>
  <c r="Q183" i="4" s="1"/>
  <c r="I183" i="4"/>
  <c r="N180" i="4"/>
  <c r="O180" i="4" s="1"/>
  <c r="Q180" i="4" s="1"/>
  <c r="I180" i="4"/>
  <c r="S146" i="4"/>
  <c r="N171" i="4"/>
  <c r="O171" i="4" s="1"/>
  <c r="Q171" i="4" s="1"/>
  <c r="I171" i="4"/>
  <c r="N195" i="4"/>
  <c r="O195" i="4" s="1"/>
  <c r="Q195" i="4" s="1"/>
  <c r="I195" i="4"/>
  <c r="I155" i="4"/>
  <c r="N155" i="4"/>
  <c r="O155" i="4" s="1"/>
  <c r="Q155" i="4" s="1"/>
  <c r="N167" i="4"/>
  <c r="O167" i="4" s="1"/>
  <c r="Q167" i="4" s="1"/>
  <c r="I167" i="4"/>
  <c r="N188" i="4"/>
  <c r="O188" i="4" s="1"/>
  <c r="Q188" i="4" s="1"/>
  <c r="I188" i="4"/>
  <c r="S150" i="4"/>
  <c r="I174" i="4"/>
  <c r="N174" i="4"/>
  <c r="O174" i="4" s="1"/>
  <c r="Q174" i="4" s="1"/>
  <c r="S193" i="4"/>
  <c r="N160" i="4"/>
  <c r="O160" i="4" s="1"/>
  <c r="Q160" i="4" s="1"/>
  <c r="I160" i="4"/>
  <c r="N191" i="4"/>
  <c r="O191" i="4" s="1"/>
  <c r="Q191" i="4" s="1"/>
  <c r="I191" i="4"/>
  <c r="I194" i="4"/>
  <c r="N194" i="4"/>
  <c r="O194" i="4" s="1"/>
  <c r="Q194" i="4" s="1"/>
  <c r="N164" i="4"/>
  <c r="O164" i="4" s="1"/>
  <c r="Q164" i="4" s="1"/>
  <c r="I164" i="4"/>
  <c r="N147" i="4"/>
  <c r="O147" i="4" s="1"/>
  <c r="Q147" i="4" s="1"/>
  <c r="I147" i="4"/>
  <c r="S166" i="4"/>
  <c r="N172" i="4"/>
  <c r="O172" i="4" s="1"/>
  <c r="Q172" i="4" s="1"/>
  <c r="I172" i="4"/>
  <c r="N168" i="4"/>
  <c r="O168" i="4" s="1"/>
  <c r="Q168" i="4" s="1"/>
  <c r="I168" i="4"/>
  <c r="I190" i="4"/>
  <c r="N190" i="4"/>
  <c r="O190" i="4" s="1"/>
  <c r="Q190" i="4" s="1"/>
  <c r="I162" i="4"/>
  <c r="N162" i="4"/>
  <c r="O162" i="4" s="1"/>
  <c r="Q162" i="4" s="1"/>
  <c r="N179" i="4"/>
  <c r="O179" i="4" s="1"/>
  <c r="Q179" i="4" s="1"/>
  <c r="I179" i="4"/>
  <c r="N159" i="4"/>
  <c r="O159" i="4" s="1"/>
  <c r="Q159" i="4" s="1"/>
  <c r="I159" i="4"/>
  <c r="N192" i="4"/>
  <c r="O192" i="4" s="1"/>
  <c r="Q192" i="4" s="1"/>
  <c r="I192" i="4"/>
  <c r="I163" i="4"/>
  <c r="N163" i="4"/>
  <c r="O163" i="4" s="1"/>
  <c r="Q163" i="4" s="1"/>
  <c r="N153" i="4"/>
  <c r="O153" i="4" s="1"/>
  <c r="Q153" i="4" s="1"/>
  <c r="I153" i="4"/>
  <c r="S156" i="4"/>
  <c r="S145" i="4"/>
  <c r="I117" i="4"/>
  <c r="I115" i="4"/>
  <c r="S164" i="4" l="1"/>
  <c r="S174" i="4"/>
  <c r="S190" i="4"/>
  <c r="S194" i="4"/>
  <c r="S162" i="4"/>
  <c r="S192" i="4"/>
  <c r="S155" i="4"/>
  <c r="S191" i="4"/>
  <c r="S182" i="4"/>
  <c r="S184" i="4"/>
  <c r="S172" i="4"/>
  <c r="S167" i="4"/>
  <c r="S180" i="4"/>
  <c r="S176" i="4"/>
  <c r="S159" i="4"/>
  <c r="S147" i="4"/>
  <c r="S160" i="4"/>
  <c r="S195" i="4"/>
  <c r="S151" i="4"/>
  <c r="S153" i="4"/>
  <c r="S168" i="4"/>
  <c r="S183" i="4"/>
  <c r="S187" i="4"/>
  <c r="S163" i="4"/>
  <c r="S179" i="4"/>
  <c r="S188" i="4"/>
  <c r="S171" i="4"/>
  <c r="S149" i="4"/>
  <c r="P105" i="4"/>
  <c r="M53" i="4"/>
  <c r="H68" i="4" l="1"/>
  <c r="M68" i="4" s="1"/>
  <c r="H77" i="4"/>
  <c r="M77" i="4" s="1"/>
  <c r="H78" i="4"/>
  <c r="H84" i="4"/>
  <c r="H85" i="4"/>
  <c r="H86" i="4"/>
  <c r="M86" i="4" s="1"/>
  <c r="H97" i="4"/>
  <c r="M97" i="4" s="1"/>
  <c r="H103" i="4"/>
  <c r="M103" i="4" s="1"/>
  <c r="H104" i="4"/>
  <c r="M104" i="4" s="1"/>
  <c r="C26" i="4"/>
  <c r="J97" i="4" s="1"/>
  <c r="J102" i="4"/>
  <c r="J103" i="4"/>
  <c r="J99" i="4"/>
  <c r="J98" i="4"/>
  <c r="J92" i="4"/>
  <c r="J87" i="4"/>
  <c r="J88" i="4"/>
  <c r="J83" i="4"/>
  <c r="J85" i="4"/>
  <c r="J78" i="4"/>
  <c r="J76" i="4"/>
  <c r="J74" i="4"/>
  <c r="J72" i="4"/>
  <c r="J70" i="4"/>
  <c r="J64" i="4"/>
  <c r="J63" i="4"/>
  <c r="J62" i="4"/>
  <c r="J61" i="4"/>
  <c r="J58" i="4"/>
  <c r="J55" i="4"/>
  <c r="J66" i="4"/>
  <c r="J68" i="4"/>
  <c r="J71" i="4"/>
  <c r="J75" i="4"/>
  <c r="J82" i="4"/>
  <c r="J86" i="4"/>
  <c r="J89" i="4"/>
  <c r="J93" i="4"/>
  <c r="J95" i="4"/>
  <c r="I103" i="4"/>
  <c r="G95" i="4"/>
  <c r="G96" i="4"/>
  <c r="G97" i="4"/>
  <c r="G98" i="4"/>
  <c r="H98" i="4" s="1"/>
  <c r="G99" i="4"/>
  <c r="H99" i="4" s="1"/>
  <c r="G100" i="4"/>
  <c r="H100" i="4" s="1"/>
  <c r="G101" i="4"/>
  <c r="H101" i="4" s="1"/>
  <c r="G102" i="4"/>
  <c r="G103" i="4"/>
  <c r="G104" i="4"/>
  <c r="G94" i="4"/>
  <c r="G86" i="4"/>
  <c r="G87" i="4"/>
  <c r="H87" i="4" s="1"/>
  <c r="G88" i="4"/>
  <c r="G89" i="4"/>
  <c r="H89" i="4" s="1"/>
  <c r="M89" i="4" s="1"/>
  <c r="G90" i="4"/>
  <c r="H90" i="4" s="1"/>
  <c r="G91" i="4"/>
  <c r="H91" i="4" s="1"/>
  <c r="G92" i="4"/>
  <c r="H92" i="4" s="1"/>
  <c r="G93" i="4"/>
  <c r="H93" i="4" s="1"/>
  <c r="M93" i="4" s="1"/>
  <c r="G85" i="4"/>
  <c r="G84" i="4"/>
  <c r="G83" i="4"/>
  <c r="G76" i="4"/>
  <c r="G77" i="4"/>
  <c r="G78" i="4"/>
  <c r="G79" i="4"/>
  <c r="H79" i="4" s="1"/>
  <c r="M79" i="4" s="1"/>
  <c r="G80" i="4"/>
  <c r="H80" i="4" s="1"/>
  <c r="G81" i="4"/>
  <c r="H81" i="4" s="1"/>
  <c r="G82" i="4"/>
  <c r="H83" i="4" s="1"/>
  <c r="G69" i="4"/>
  <c r="H69" i="4" s="1"/>
  <c r="G70" i="4"/>
  <c r="G71" i="4"/>
  <c r="H71" i="4" s="1"/>
  <c r="M71" i="4" s="1"/>
  <c r="G72" i="4"/>
  <c r="G73" i="4"/>
  <c r="H73" i="4" s="1"/>
  <c r="M73" i="4" s="1"/>
  <c r="G74" i="4"/>
  <c r="H74" i="4" s="1"/>
  <c r="G75" i="4"/>
  <c r="H75" i="4" s="1"/>
  <c r="M75" i="4" s="1"/>
  <c r="G64" i="4"/>
  <c r="G65" i="4"/>
  <c r="H65" i="4" s="1"/>
  <c r="G66" i="4"/>
  <c r="H66" i="4" s="1"/>
  <c r="M66" i="4" s="1"/>
  <c r="G67" i="4"/>
  <c r="G68" i="4"/>
  <c r="M90" i="4" l="1"/>
  <c r="I90" i="4"/>
  <c r="I101" i="4"/>
  <c r="M101" i="4"/>
  <c r="I69" i="4"/>
  <c r="M69" i="4"/>
  <c r="I83" i="4"/>
  <c r="M83" i="4"/>
  <c r="M98" i="4"/>
  <c r="I98" i="4"/>
  <c r="I100" i="4"/>
  <c r="M100" i="4"/>
  <c r="M99" i="4"/>
  <c r="I99" i="4"/>
  <c r="M81" i="4"/>
  <c r="I81" i="4"/>
  <c r="M80" i="4"/>
  <c r="I80" i="4"/>
  <c r="M87" i="4"/>
  <c r="I87" i="4"/>
  <c r="M74" i="4"/>
  <c r="I74" i="4"/>
  <c r="M65" i="4"/>
  <c r="I65" i="4"/>
  <c r="I92" i="4"/>
  <c r="M92" i="4"/>
  <c r="I91" i="4"/>
  <c r="M91" i="4"/>
  <c r="H76" i="4"/>
  <c r="H102" i="4"/>
  <c r="H67" i="4"/>
  <c r="I97" i="4"/>
  <c r="J79" i="4"/>
  <c r="J56" i="4"/>
  <c r="J65" i="4"/>
  <c r="J81" i="4"/>
  <c r="J91" i="4"/>
  <c r="J101" i="4"/>
  <c r="H82" i="4"/>
  <c r="M82" i="4" s="1"/>
  <c r="I78" i="4"/>
  <c r="M78" i="4"/>
  <c r="J104" i="4"/>
  <c r="J77" i="4"/>
  <c r="J57" i="4"/>
  <c r="J67" i="4"/>
  <c r="J80" i="4"/>
  <c r="J90" i="4"/>
  <c r="J100" i="4"/>
  <c r="H70" i="4"/>
  <c r="I84" i="4"/>
  <c r="M84" i="4"/>
  <c r="H88" i="4"/>
  <c r="H72" i="4"/>
  <c r="I85" i="4"/>
  <c r="M85" i="4"/>
  <c r="L54" i="4"/>
  <c r="L99" i="4"/>
  <c r="L56" i="4"/>
  <c r="L64" i="4"/>
  <c r="L69" i="4"/>
  <c r="L77" i="4"/>
  <c r="L85" i="4"/>
  <c r="L93" i="4"/>
  <c r="L97" i="4"/>
  <c r="L83" i="4"/>
  <c r="L100" i="4"/>
  <c r="L57" i="4"/>
  <c r="L65" i="4"/>
  <c r="L70" i="4"/>
  <c r="L78" i="4"/>
  <c r="L86" i="4"/>
  <c r="L94" i="4"/>
  <c r="L74" i="4"/>
  <c r="L96" i="4"/>
  <c r="L91" i="4"/>
  <c r="L101" i="4"/>
  <c r="L58" i="4"/>
  <c r="L66" i="4"/>
  <c r="L71" i="4"/>
  <c r="L79" i="4"/>
  <c r="L87" i="4"/>
  <c r="L95" i="4"/>
  <c r="L104" i="4"/>
  <c r="L82" i="4"/>
  <c r="L75" i="4"/>
  <c r="L102" i="4"/>
  <c r="L59" i="4"/>
  <c r="L72" i="4"/>
  <c r="L80" i="4"/>
  <c r="L88" i="4"/>
  <c r="L67" i="4"/>
  <c r="L103" i="4"/>
  <c r="L60" i="4"/>
  <c r="L73" i="4"/>
  <c r="L81" i="4"/>
  <c r="L89" i="4"/>
  <c r="L61" i="4"/>
  <c r="L90" i="4"/>
  <c r="L62" i="4"/>
  <c r="L98" i="4"/>
  <c r="L55" i="4"/>
  <c r="L63" i="4"/>
  <c r="L68" i="4"/>
  <c r="L76" i="4"/>
  <c r="L84" i="4"/>
  <c r="L92" i="4"/>
  <c r="I104" i="4"/>
  <c r="J94" i="4"/>
  <c r="J73" i="4"/>
  <c r="J59" i="4"/>
  <c r="J69" i="4"/>
  <c r="J84" i="4"/>
  <c r="J96" i="4"/>
  <c r="J60" i="4"/>
  <c r="H96" i="4"/>
  <c r="H95" i="4"/>
  <c r="H94" i="4"/>
  <c r="M94" i="4" s="1"/>
  <c r="G63" i="4"/>
  <c r="H63" i="4" s="1"/>
  <c r="G62" i="4"/>
  <c r="H62" i="4" s="1"/>
  <c r="G61" i="4"/>
  <c r="I62" i="4" l="1"/>
  <c r="M62" i="4"/>
  <c r="M63" i="4"/>
  <c r="I63" i="4"/>
  <c r="M72" i="4"/>
  <c r="I72" i="4"/>
  <c r="M76" i="4"/>
  <c r="I76" i="4"/>
  <c r="I70" i="4"/>
  <c r="M70" i="4"/>
  <c r="M88" i="4"/>
  <c r="I88" i="4"/>
  <c r="M67" i="4"/>
  <c r="I67" i="4"/>
  <c r="H61" i="4"/>
  <c r="M102" i="4"/>
  <c r="I102" i="4"/>
  <c r="H64" i="4"/>
  <c r="M96" i="4"/>
  <c r="I96" i="4"/>
  <c r="M95" i="4"/>
  <c r="I95" i="4"/>
  <c r="F60" i="4"/>
  <c r="G55" i="4"/>
  <c r="H55" i="4" s="1"/>
  <c r="G56" i="4"/>
  <c r="H56" i="4" s="1"/>
  <c r="G57" i="4"/>
  <c r="H57" i="4" s="1"/>
  <c r="G58" i="4"/>
  <c r="G59" i="4"/>
  <c r="G54" i="4"/>
  <c r="H54" i="4" s="1"/>
  <c r="G60" i="4"/>
  <c r="H60" i="4" s="1"/>
  <c r="M60" i="4" s="1"/>
  <c r="T25" i="4"/>
  <c r="T26" i="4" s="1"/>
  <c r="T27" i="4" s="1"/>
  <c r="T28" i="4" s="1"/>
  <c r="T29" i="4" s="1"/>
  <c r="T30" i="4" s="1"/>
  <c r="T31" i="4" s="1"/>
  <c r="T32" i="4" s="1"/>
  <c r="T33" i="4" s="1"/>
  <c r="T34" i="4" s="1"/>
  <c r="T35" i="4" s="1"/>
  <c r="T36" i="4" s="1"/>
  <c r="T37" i="4" s="1"/>
  <c r="T38" i="4" s="1"/>
  <c r="T39" i="4" s="1"/>
  <c r="T40" i="4" s="1"/>
  <c r="T41" i="4" s="1"/>
  <c r="R25" i="4"/>
  <c r="R26" i="4" s="1"/>
  <c r="R27" i="4" s="1"/>
  <c r="R28" i="4" s="1"/>
  <c r="R29" i="4" s="1"/>
  <c r="R30" i="4" s="1"/>
  <c r="R31" i="4" s="1"/>
  <c r="R32" i="4" s="1"/>
  <c r="R33" i="4" s="1"/>
  <c r="R34" i="4" s="1"/>
  <c r="R35" i="4" s="1"/>
  <c r="R36" i="4" s="1"/>
  <c r="R37" i="4" s="1"/>
  <c r="R38" i="4" s="1"/>
  <c r="R39" i="4" s="1"/>
  <c r="R40" i="4" s="1"/>
  <c r="R41" i="4" s="1"/>
  <c r="L4" i="4"/>
  <c r="J53" i="4"/>
  <c r="N53" i="4" s="1"/>
  <c r="O53" i="4" s="1"/>
  <c r="J3" i="4"/>
  <c r="M3" i="4" s="1"/>
  <c r="N3" i="4" s="1"/>
  <c r="S53" i="4"/>
  <c r="H53" i="4"/>
  <c r="I53" i="4" s="1"/>
  <c r="F53" i="4"/>
  <c r="D53" i="4"/>
  <c r="D54" i="4" s="1"/>
  <c r="D55" i="4" s="1"/>
  <c r="D56" i="4" s="1"/>
  <c r="D57" i="4" s="1"/>
  <c r="D58" i="4" s="1"/>
  <c r="D59" i="4" s="1"/>
  <c r="D60" i="4" s="1"/>
  <c r="C46" i="4"/>
  <c r="G43" i="4"/>
  <c r="C30" i="4"/>
  <c r="C29" i="4"/>
  <c r="K27" i="4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41" i="4" s="1"/>
  <c r="K42" i="4" s="1"/>
  <c r="C27" i="4"/>
  <c r="H26" i="4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L19" i="4"/>
  <c r="J19" i="4"/>
  <c r="G19" i="4"/>
  <c r="L18" i="4"/>
  <c r="J18" i="4"/>
  <c r="G18" i="4"/>
  <c r="L17" i="4"/>
  <c r="J17" i="4"/>
  <c r="G17" i="4"/>
  <c r="L16" i="4"/>
  <c r="J16" i="4"/>
  <c r="G16" i="4"/>
  <c r="L15" i="4"/>
  <c r="J15" i="4"/>
  <c r="G15" i="4"/>
  <c r="K15" i="4" s="1"/>
  <c r="L14" i="4"/>
  <c r="J14" i="4"/>
  <c r="G14" i="4"/>
  <c r="L13" i="4"/>
  <c r="J13" i="4"/>
  <c r="G13" i="4"/>
  <c r="L12" i="4"/>
  <c r="J12" i="4"/>
  <c r="G12" i="4"/>
  <c r="L11" i="4"/>
  <c r="J11" i="4"/>
  <c r="G11" i="4"/>
  <c r="L10" i="4"/>
  <c r="J10" i="4"/>
  <c r="G10" i="4"/>
  <c r="L9" i="4"/>
  <c r="J9" i="4"/>
  <c r="G9" i="4"/>
  <c r="L8" i="4"/>
  <c r="J8" i="4"/>
  <c r="G8" i="4"/>
  <c r="L7" i="4"/>
  <c r="J7" i="4"/>
  <c r="G7" i="4"/>
  <c r="K7" i="4" s="1"/>
  <c r="L6" i="4"/>
  <c r="J6" i="4"/>
  <c r="G6" i="4"/>
  <c r="L5" i="4"/>
  <c r="J5" i="4"/>
  <c r="G5" i="4"/>
  <c r="J4" i="4"/>
  <c r="G4" i="4"/>
  <c r="R3" i="4"/>
  <c r="H3" i="4"/>
  <c r="I3" i="4" s="1"/>
  <c r="F3" i="4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M55" i="4" l="1"/>
  <c r="I55" i="4"/>
  <c r="M64" i="4"/>
  <c r="I64" i="4"/>
  <c r="M57" i="4"/>
  <c r="I57" i="4"/>
  <c r="M56" i="4"/>
  <c r="I56" i="4"/>
  <c r="K54" i="4"/>
  <c r="K59" i="4"/>
  <c r="K67" i="4"/>
  <c r="N67" i="4" s="1"/>
  <c r="O67" i="4" s="1"/>
  <c r="K75" i="4"/>
  <c r="N75" i="4" s="1"/>
  <c r="O75" i="4" s="1"/>
  <c r="K83" i="4"/>
  <c r="N83" i="4" s="1"/>
  <c r="O83" i="4" s="1"/>
  <c r="K91" i="4"/>
  <c r="N91" i="4" s="1"/>
  <c r="O91" i="4" s="1"/>
  <c r="K101" i="4"/>
  <c r="N101" i="4" s="1"/>
  <c r="O101" i="4" s="1"/>
  <c r="K56" i="4"/>
  <c r="K88" i="4"/>
  <c r="N88" i="4" s="1"/>
  <c r="O88" i="4" s="1"/>
  <c r="K81" i="4"/>
  <c r="N81" i="4" s="1"/>
  <c r="O81" i="4" s="1"/>
  <c r="K60" i="4"/>
  <c r="N60" i="4" s="1"/>
  <c r="O60" i="4" s="1"/>
  <c r="K68" i="4"/>
  <c r="N68" i="4" s="1"/>
  <c r="O68" i="4" s="1"/>
  <c r="K76" i="4"/>
  <c r="N76" i="4" s="1"/>
  <c r="O76" i="4" s="1"/>
  <c r="K84" i="4"/>
  <c r="N84" i="4" s="1"/>
  <c r="O84" i="4" s="1"/>
  <c r="K92" i="4"/>
  <c r="N92" i="4" s="1"/>
  <c r="O92" i="4" s="1"/>
  <c r="K102" i="4"/>
  <c r="N102" i="4" s="1"/>
  <c r="O102" i="4" s="1"/>
  <c r="K70" i="4"/>
  <c r="N70" i="4" s="1"/>
  <c r="O70" i="4" s="1"/>
  <c r="K96" i="4"/>
  <c r="N96" i="4" s="1"/>
  <c r="O96" i="4" s="1"/>
  <c r="K79" i="4"/>
  <c r="N79" i="4" s="1"/>
  <c r="O79" i="4" s="1"/>
  <c r="K72" i="4"/>
  <c r="N72" i="4" s="1"/>
  <c r="O72" i="4" s="1"/>
  <c r="K99" i="4"/>
  <c r="N99" i="4" s="1"/>
  <c r="O99" i="4" s="1"/>
  <c r="K61" i="4"/>
  <c r="K69" i="4"/>
  <c r="N69" i="4" s="1"/>
  <c r="O69" i="4" s="1"/>
  <c r="K77" i="4"/>
  <c r="N77" i="4" s="1"/>
  <c r="O77" i="4" s="1"/>
  <c r="K85" i="4"/>
  <c r="N85" i="4" s="1"/>
  <c r="O85" i="4" s="1"/>
  <c r="K93" i="4"/>
  <c r="N93" i="4" s="1"/>
  <c r="O93" i="4" s="1"/>
  <c r="K103" i="4"/>
  <c r="N103" i="4" s="1"/>
  <c r="O103" i="4" s="1"/>
  <c r="K62" i="4"/>
  <c r="N62" i="4" s="1"/>
  <c r="O62" i="4" s="1"/>
  <c r="K86" i="4"/>
  <c r="N86" i="4" s="1"/>
  <c r="O86" i="4" s="1"/>
  <c r="K104" i="4"/>
  <c r="N104" i="4" s="1"/>
  <c r="O104" i="4" s="1"/>
  <c r="K87" i="4"/>
  <c r="N87" i="4" s="1"/>
  <c r="O87" i="4" s="1"/>
  <c r="K64" i="4"/>
  <c r="N64" i="4" s="1"/>
  <c r="O64" i="4" s="1"/>
  <c r="K98" i="4"/>
  <c r="N98" i="4" s="1"/>
  <c r="O98" i="4" s="1"/>
  <c r="K65" i="4"/>
  <c r="N65" i="4" s="1"/>
  <c r="O65" i="4" s="1"/>
  <c r="K78" i="4"/>
  <c r="N78" i="4" s="1"/>
  <c r="O78" i="4" s="1"/>
  <c r="K89" i="4"/>
  <c r="N89" i="4" s="1"/>
  <c r="O89" i="4" s="1"/>
  <c r="K55" i="4"/>
  <c r="N55" i="4" s="1"/>
  <c r="O55" i="4" s="1"/>
  <c r="K63" i="4"/>
  <c r="N63" i="4" s="1"/>
  <c r="O63" i="4" s="1"/>
  <c r="K71" i="4"/>
  <c r="N71" i="4" s="1"/>
  <c r="O71" i="4" s="1"/>
  <c r="K97" i="4"/>
  <c r="N97" i="4" s="1"/>
  <c r="O97" i="4" s="1"/>
  <c r="K80" i="4"/>
  <c r="N80" i="4" s="1"/>
  <c r="O80" i="4" s="1"/>
  <c r="K73" i="4"/>
  <c r="N73" i="4" s="1"/>
  <c r="O73" i="4" s="1"/>
  <c r="K58" i="4"/>
  <c r="K66" i="4"/>
  <c r="N66" i="4" s="1"/>
  <c r="O66" i="4" s="1"/>
  <c r="K74" i="4"/>
  <c r="N74" i="4" s="1"/>
  <c r="O74" i="4" s="1"/>
  <c r="K82" i="4"/>
  <c r="N82" i="4" s="1"/>
  <c r="O82" i="4" s="1"/>
  <c r="K90" i="4"/>
  <c r="N90" i="4" s="1"/>
  <c r="O90" i="4" s="1"/>
  <c r="K100" i="4"/>
  <c r="N100" i="4" s="1"/>
  <c r="O100" i="4" s="1"/>
  <c r="K57" i="4"/>
  <c r="N57" i="4" s="1"/>
  <c r="O57" i="4" s="1"/>
  <c r="K95" i="4"/>
  <c r="K94" i="4"/>
  <c r="N94" i="4" s="1"/>
  <c r="O94" i="4" s="1"/>
  <c r="M54" i="4"/>
  <c r="I54" i="4"/>
  <c r="N95" i="4"/>
  <c r="O95" i="4" s="1"/>
  <c r="S95" i="4" s="1"/>
  <c r="I61" i="4"/>
  <c r="M61" i="4"/>
  <c r="H59" i="4"/>
  <c r="H58" i="4"/>
  <c r="K10" i="4"/>
  <c r="H17" i="4"/>
  <c r="I17" i="4" s="1"/>
  <c r="H14" i="4"/>
  <c r="I14" i="4" s="1"/>
  <c r="H6" i="4"/>
  <c r="I6" i="4" s="1"/>
  <c r="I60" i="4"/>
  <c r="I66" i="4"/>
  <c r="F61" i="4"/>
  <c r="F62" i="4" s="1"/>
  <c r="F63" i="4" s="1"/>
  <c r="F64" i="4" s="1"/>
  <c r="F65" i="4" s="1"/>
  <c r="F66" i="4" s="1"/>
  <c r="F67" i="4" s="1"/>
  <c r="F68" i="4" s="1"/>
  <c r="F69" i="4" s="1"/>
  <c r="D61" i="4"/>
  <c r="D62" i="4" s="1"/>
  <c r="D63" i="4" s="1"/>
  <c r="D64" i="4" s="1"/>
  <c r="D65" i="4" s="1"/>
  <c r="D66" i="4" s="1"/>
  <c r="D67" i="4" s="1"/>
  <c r="D68" i="4" s="1"/>
  <c r="D69" i="4" s="1"/>
  <c r="M7" i="4"/>
  <c r="N7" i="4" s="1"/>
  <c r="R7" i="4" s="1"/>
  <c r="M15" i="4"/>
  <c r="N15" i="4" s="1"/>
  <c r="K16" i="4"/>
  <c r="M16" i="4" s="1"/>
  <c r="N16" i="4" s="1"/>
  <c r="P16" i="4" s="1"/>
  <c r="S16" i="4" s="1"/>
  <c r="H19" i="4"/>
  <c r="I19" i="4" s="1"/>
  <c r="K8" i="4"/>
  <c r="M8" i="4" s="1"/>
  <c r="N8" i="4" s="1"/>
  <c r="P8" i="4" s="1"/>
  <c r="K6" i="4"/>
  <c r="M6" i="4" s="1"/>
  <c r="N6" i="4" s="1"/>
  <c r="P6" i="4" s="1"/>
  <c r="S6" i="4" s="1"/>
  <c r="K12" i="4"/>
  <c r="M12" i="4" s="1"/>
  <c r="N12" i="4" s="1"/>
  <c r="P12" i="4" s="1"/>
  <c r="K14" i="4"/>
  <c r="M14" i="4" s="1"/>
  <c r="N14" i="4" s="1"/>
  <c r="K17" i="4"/>
  <c r="M17" i="4" s="1"/>
  <c r="N17" i="4" s="1"/>
  <c r="H13" i="4"/>
  <c r="I13" i="4" s="1"/>
  <c r="H11" i="4"/>
  <c r="I11" i="4" s="1"/>
  <c r="H18" i="4"/>
  <c r="I18" i="4" s="1"/>
  <c r="K4" i="4"/>
  <c r="M4" i="4" s="1"/>
  <c r="N4" i="4" s="1"/>
  <c r="R4" i="4" s="1"/>
  <c r="H5" i="4"/>
  <c r="I5" i="4" s="1"/>
  <c r="H9" i="4"/>
  <c r="I9" i="4" s="1"/>
  <c r="I86" i="4"/>
  <c r="I73" i="4"/>
  <c r="I89" i="4"/>
  <c r="I68" i="4"/>
  <c r="I94" i="4"/>
  <c r="I82" i="4"/>
  <c r="I79" i="4"/>
  <c r="Q53" i="4"/>
  <c r="T53" i="4" s="1"/>
  <c r="I77" i="4"/>
  <c r="I71" i="4"/>
  <c r="I93" i="4"/>
  <c r="I75" i="4"/>
  <c r="K9" i="4"/>
  <c r="M9" i="4" s="1"/>
  <c r="N9" i="4" s="1"/>
  <c r="K11" i="4"/>
  <c r="M11" i="4" s="1"/>
  <c r="N11" i="4" s="1"/>
  <c r="K19" i="4"/>
  <c r="M19" i="4" s="1"/>
  <c r="N19" i="4" s="1"/>
  <c r="H10" i="4"/>
  <c r="I10" i="4" s="1"/>
  <c r="K18" i="4"/>
  <c r="M18" i="4" s="1"/>
  <c r="N18" i="4" s="1"/>
  <c r="M10" i="4"/>
  <c r="N10" i="4" s="1"/>
  <c r="R10" i="4" s="1"/>
  <c r="R15" i="4"/>
  <c r="P15" i="4"/>
  <c r="S15" i="4" s="1"/>
  <c r="P3" i="4"/>
  <c r="S3" i="4" s="1"/>
  <c r="H8" i="4"/>
  <c r="I8" i="4" s="1"/>
  <c r="H16" i="4"/>
  <c r="I16" i="4" s="1"/>
  <c r="H15" i="4"/>
  <c r="I15" i="4" s="1"/>
  <c r="H4" i="4"/>
  <c r="I4" i="4" s="1"/>
  <c r="K5" i="4"/>
  <c r="M5" i="4" s="1"/>
  <c r="N5" i="4" s="1"/>
  <c r="H12" i="4"/>
  <c r="I12" i="4" s="1"/>
  <c r="K13" i="4"/>
  <c r="M13" i="4" s="1"/>
  <c r="N13" i="4" s="1"/>
  <c r="H7" i="4"/>
  <c r="I7" i="4" s="1"/>
  <c r="L4" i="2"/>
  <c r="J3" i="2"/>
  <c r="G4" i="2"/>
  <c r="H4" i="2" s="1"/>
  <c r="S96" i="4" l="1"/>
  <c r="Q96" i="4"/>
  <c r="T96" i="4" s="1"/>
  <c r="S90" i="4"/>
  <c r="Q90" i="4"/>
  <c r="T90" i="4" s="1"/>
  <c r="S69" i="4"/>
  <c r="Q69" i="4"/>
  <c r="T69" i="4" s="1"/>
  <c r="Q82" i="4"/>
  <c r="T82" i="4" s="1"/>
  <c r="S82" i="4"/>
  <c r="S63" i="4"/>
  <c r="Q63" i="4"/>
  <c r="T63" i="4" s="1"/>
  <c r="Q104" i="4"/>
  <c r="T104" i="4" s="1"/>
  <c r="S104" i="4"/>
  <c r="N61" i="4"/>
  <c r="O61" i="4" s="1"/>
  <c r="S84" i="4"/>
  <c r="Q84" i="4"/>
  <c r="T84" i="4" s="1"/>
  <c r="Q91" i="4"/>
  <c r="T91" i="4" s="1"/>
  <c r="S91" i="4"/>
  <c r="Q95" i="4"/>
  <c r="T95" i="4" s="1"/>
  <c r="S74" i="4"/>
  <c r="Q74" i="4"/>
  <c r="T74" i="4" s="1"/>
  <c r="S55" i="4"/>
  <c r="Q55" i="4"/>
  <c r="T55" i="4" s="1"/>
  <c r="S86" i="4"/>
  <c r="Q86" i="4"/>
  <c r="T86" i="4" s="1"/>
  <c r="Q99" i="4"/>
  <c r="T99" i="4" s="1"/>
  <c r="S99" i="4"/>
  <c r="S76" i="4"/>
  <c r="Q76" i="4"/>
  <c r="T76" i="4" s="1"/>
  <c r="Q83" i="4"/>
  <c r="T83" i="4" s="1"/>
  <c r="S83" i="4"/>
  <c r="Q101" i="4"/>
  <c r="T101" i="4" s="1"/>
  <c r="S101" i="4"/>
  <c r="Q66" i="4"/>
  <c r="S66" i="4"/>
  <c r="T66" i="4"/>
  <c r="Q62" i="4"/>
  <c r="T62" i="4" s="1"/>
  <c r="S62" i="4"/>
  <c r="S75" i="4"/>
  <c r="Q75" i="4"/>
  <c r="T75" i="4" s="1"/>
  <c r="Q92" i="4"/>
  <c r="T92" i="4" s="1"/>
  <c r="S92" i="4"/>
  <c r="S89" i="4"/>
  <c r="Q89" i="4"/>
  <c r="T89" i="4" s="1"/>
  <c r="S72" i="4"/>
  <c r="Q72" i="4"/>
  <c r="T72" i="4" s="1"/>
  <c r="S68" i="4"/>
  <c r="Q68" i="4"/>
  <c r="T68" i="4" s="1"/>
  <c r="Q94" i="4"/>
  <c r="T94" i="4" s="1"/>
  <c r="S94" i="4"/>
  <c r="N58" i="4"/>
  <c r="O58" i="4" s="1"/>
  <c r="S78" i="4"/>
  <c r="Q78" i="4"/>
  <c r="T78" i="4" s="1"/>
  <c r="Q103" i="4"/>
  <c r="T103" i="4" s="1"/>
  <c r="S103" i="4"/>
  <c r="Q79" i="4"/>
  <c r="T79" i="4" s="1"/>
  <c r="S79" i="4"/>
  <c r="Q60" i="4"/>
  <c r="T60" i="4" s="1"/>
  <c r="S60" i="4"/>
  <c r="Q67" i="4"/>
  <c r="T67" i="4" s="1"/>
  <c r="S67" i="4"/>
  <c r="Q71" i="4"/>
  <c r="T71" i="4" s="1"/>
  <c r="S71" i="4"/>
  <c r="Q65" i="4"/>
  <c r="S65" i="4"/>
  <c r="T65" i="4"/>
  <c r="S81" i="4"/>
  <c r="Q81" i="4"/>
  <c r="T81" i="4" s="1"/>
  <c r="Q87" i="4"/>
  <c r="T87" i="4" s="1"/>
  <c r="S87" i="4"/>
  <c r="M58" i="4"/>
  <c r="I58" i="4"/>
  <c r="I105" i="4" s="1"/>
  <c r="S73" i="4"/>
  <c r="Q73" i="4"/>
  <c r="T73" i="4" s="1"/>
  <c r="S93" i="4"/>
  <c r="Q93" i="4"/>
  <c r="T93" i="4" s="1"/>
  <c r="M59" i="4"/>
  <c r="N59" i="4" s="1"/>
  <c r="O59" i="4" s="1"/>
  <c r="I59" i="4"/>
  <c r="Q57" i="4"/>
  <c r="T57" i="4"/>
  <c r="S57" i="4"/>
  <c r="S80" i="4"/>
  <c r="Q80" i="4"/>
  <c r="T80" i="4" s="1"/>
  <c r="Q98" i="4"/>
  <c r="T98" i="4" s="1"/>
  <c r="S98" i="4"/>
  <c r="S85" i="4"/>
  <c r="Q85" i="4"/>
  <c r="T85" i="4" s="1"/>
  <c r="S70" i="4"/>
  <c r="Q70" i="4"/>
  <c r="T70" i="4" s="1"/>
  <c r="S88" i="4"/>
  <c r="Q88" i="4"/>
  <c r="T88" i="4" s="1"/>
  <c r="N54" i="4"/>
  <c r="Q100" i="4"/>
  <c r="T100" i="4" s="1"/>
  <c r="S100" i="4"/>
  <c r="S97" i="4"/>
  <c r="T97" i="4"/>
  <c r="Q97" i="4"/>
  <c r="Q64" i="4"/>
  <c r="T64" i="4" s="1"/>
  <c r="S64" i="4"/>
  <c r="S77" i="4"/>
  <c r="Q77" i="4"/>
  <c r="T77" i="4" s="1"/>
  <c r="Q102" i="4"/>
  <c r="S102" i="4"/>
  <c r="T102" i="4"/>
  <c r="N56" i="4"/>
  <c r="O56" i="4" s="1"/>
  <c r="F70" i="4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D70" i="4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P7" i="4"/>
  <c r="S7" i="4" s="1"/>
  <c r="R8" i="4"/>
  <c r="P17" i="4"/>
  <c r="S17" i="4" s="1"/>
  <c r="R17" i="4"/>
  <c r="R6" i="4"/>
  <c r="R16" i="4"/>
  <c r="R19" i="4"/>
  <c r="P19" i="4"/>
  <c r="S19" i="4" s="1"/>
  <c r="R11" i="4"/>
  <c r="P11" i="4"/>
  <c r="S11" i="4" s="1"/>
  <c r="R9" i="4"/>
  <c r="P9" i="4"/>
  <c r="S9" i="4" s="1"/>
  <c r="P14" i="4"/>
  <c r="S14" i="4" s="1"/>
  <c r="R12" i="4"/>
  <c r="S8" i="4"/>
  <c r="R14" i="4"/>
  <c r="S12" i="4"/>
  <c r="P4" i="4"/>
  <c r="S4" i="4" s="1"/>
  <c r="P10" i="4"/>
  <c r="S10" i="4" s="1"/>
  <c r="R13" i="4"/>
  <c r="P13" i="4"/>
  <c r="S13" i="4" s="1"/>
  <c r="N20" i="4"/>
  <c r="R5" i="4"/>
  <c r="P5" i="4"/>
  <c r="S5" i="4" s="1"/>
  <c r="R18" i="4"/>
  <c r="P18" i="4"/>
  <c r="S18" i="4" s="1"/>
  <c r="J4" i="2"/>
  <c r="Q59" i="4" l="1"/>
  <c r="T59" i="4" s="1"/>
  <c r="S59" i="4"/>
  <c r="Q58" i="4"/>
  <c r="S58" i="4"/>
  <c r="T58" i="4"/>
  <c r="S61" i="4"/>
  <c r="Q61" i="4"/>
  <c r="T61" i="4" s="1"/>
  <c r="I106" i="4"/>
  <c r="Q56" i="4"/>
  <c r="S56" i="4"/>
  <c r="T56" i="4"/>
  <c r="N105" i="4"/>
  <c r="O54" i="4"/>
  <c r="F92" i="4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D92" i="4"/>
  <c r="D93" i="4" s="1"/>
  <c r="R3" i="2"/>
  <c r="H26" i="2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3" i="2"/>
  <c r="I3" i="2" s="1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D3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C27" i="2"/>
  <c r="K4" i="2" s="1"/>
  <c r="M4" i="2" s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M3" i="2"/>
  <c r="N3" i="2" s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C46" i="2"/>
  <c r="C30" i="2"/>
  <c r="C29" i="2"/>
  <c r="G43" i="2"/>
  <c r="K27" i="2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C7" i="1"/>
  <c r="C6" i="1"/>
  <c r="C4" i="1"/>
  <c r="C23" i="1"/>
  <c r="Q54" i="4" l="1"/>
  <c r="Q105" i="4" s="1"/>
  <c r="S54" i="4"/>
  <c r="T54" i="4"/>
  <c r="D94" i="4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P3" i="2"/>
  <c r="S3" i="2"/>
  <c r="H6" i="2"/>
  <c r="I6" i="2" s="1"/>
  <c r="H14" i="2"/>
  <c r="I14" i="2" s="1"/>
  <c r="K13" i="2"/>
  <c r="M13" i="2" s="1"/>
  <c r="N13" i="2" s="1"/>
  <c r="H8" i="2"/>
  <c r="I8" i="2" s="1"/>
  <c r="K17" i="2"/>
  <c r="M17" i="2" s="1"/>
  <c r="N17" i="2" s="1"/>
  <c r="K9" i="2"/>
  <c r="M9" i="2" s="1"/>
  <c r="N9" i="2" s="1"/>
  <c r="K12" i="2"/>
  <c r="M12" i="2" s="1"/>
  <c r="N12" i="2" s="1"/>
  <c r="K16" i="2"/>
  <c r="M16" i="2" s="1"/>
  <c r="N16" i="2" s="1"/>
  <c r="K15" i="2"/>
  <c r="M15" i="2" s="1"/>
  <c r="N15" i="2" s="1"/>
  <c r="K7" i="2"/>
  <c r="M7" i="2" s="1"/>
  <c r="N7" i="2" s="1"/>
  <c r="K11" i="2"/>
  <c r="M11" i="2" s="1"/>
  <c r="N11" i="2" s="1"/>
  <c r="K14" i="2"/>
  <c r="M14" i="2" s="1"/>
  <c r="N14" i="2" s="1"/>
  <c r="H18" i="2"/>
  <c r="I18" i="2" s="1"/>
  <c r="I4" i="2"/>
  <c r="H13" i="2"/>
  <c r="I13" i="2" s="1"/>
  <c r="H5" i="2"/>
  <c r="I5" i="2" s="1"/>
  <c r="H12" i="2"/>
  <c r="I12" i="2" s="1"/>
  <c r="H19" i="2"/>
  <c r="I19" i="2" s="1"/>
  <c r="H11" i="2"/>
  <c r="I11" i="2" s="1"/>
  <c r="H9" i="2"/>
  <c r="I9" i="2" s="1"/>
  <c r="K19" i="2"/>
  <c r="M19" i="2" s="1"/>
  <c r="N19" i="2" s="1"/>
  <c r="K6" i="2"/>
  <c r="M6" i="2" s="1"/>
  <c r="N6" i="2" s="1"/>
  <c r="H17" i="2"/>
  <c r="I17" i="2" s="1"/>
  <c r="H16" i="2"/>
  <c r="I16" i="2" s="1"/>
  <c r="D4" i="2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H15" i="2"/>
  <c r="I15" i="2" s="1"/>
  <c r="H7" i="2"/>
  <c r="I7" i="2" s="1"/>
  <c r="K8" i="2"/>
  <c r="M8" i="2" s="1"/>
  <c r="N8" i="2" s="1"/>
  <c r="K10" i="2"/>
  <c r="M10" i="2" s="1"/>
  <c r="N10" i="2" s="1"/>
  <c r="K18" i="2"/>
  <c r="M18" i="2" s="1"/>
  <c r="N18" i="2" s="1"/>
  <c r="K5" i="2"/>
  <c r="M5" i="2" s="1"/>
  <c r="N5" i="2" s="1"/>
  <c r="H10" i="2"/>
  <c r="I10" i="2" s="1"/>
  <c r="O3" i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S5" i="2" l="1"/>
  <c r="N4" i="2"/>
  <c r="P11" i="2"/>
  <c r="S11" i="2" s="1"/>
  <c r="R11" i="2"/>
  <c r="P6" i="2"/>
  <c r="S6" i="2" s="1"/>
  <c r="R6" i="2"/>
  <c r="P18" i="2"/>
  <c r="S18" i="2" s="1"/>
  <c r="R18" i="2"/>
  <c r="P17" i="2"/>
  <c r="S17" i="2" s="1"/>
  <c r="R17" i="2"/>
  <c r="P7" i="2"/>
  <c r="S7" i="2" s="1"/>
  <c r="R7" i="2"/>
  <c r="P10" i="2"/>
  <c r="S10" i="2" s="1"/>
  <c r="R10" i="2"/>
  <c r="P19" i="2"/>
  <c r="S19" i="2" s="1"/>
  <c r="R19" i="2"/>
  <c r="P8" i="2"/>
  <c r="S8" i="2" s="1"/>
  <c r="R8" i="2"/>
  <c r="P12" i="2"/>
  <c r="S12" i="2" s="1"/>
  <c r="R12" i="2"/>
  <c r="P9" i="2"/>
  <c r="S9" i="2" s="1"/>
  <c r="R9" i="2"/>
  <c r="P5" i="2"/>
  <c r="R5" i="2"/>
  <c r="P15" i="2"/>
  <c r="S15" i="2" s="1"/>
  <c r="R15" i="2"/>
  <c r="P13" i="2"/>
  <c r="S13" i="2" s="1"/>
  <c r="R13" i="2"/>
  <c r="P16" i="2"/>
  <c r="S16" i="2" s="1"/>
  <c r="R16" i="2"/>
  <c r="P14" i="2"/>
  <c r="S14" i="2" s="1"/>
  <c r="R14" i="2"/>
  <c r="P4" i="2" l="1"/>
  <c r="S4" i="2" s="1"/>
  <c r="N20" i="2"/>
  <c r="R4" i="2"/>
</calcChain>
</file>

<file path=xl/sharedStrings.xml><?xml version="1.0" encoding="utf-8"?>
<sst xmlns="http://schemas.openxmlformats.org/spreadsheetml/2006/main" count="530" uniqueCount="201">
  <si>
    <t>buggy base information</t>
  </si>
  <si>
    <t>top speed</t>
  </si>
  <si>
    <t>weight</t>
  </si>
  <si>
    <t>power bhp</t>
  </si>
  <si>
    <t>values</t>
  </si>
  <si>
    <t>track information</t>
  </si>
  <si>
    <t>sector</t>
  </si>
  <si>
    <t>start - 1</t>
  </si>
  <si>
    <t>1 to 2</t>
  </si>
  <si>
    <t>2 to 3</t>
  </si>
  <si>
    <t>3 to 4</t>
  </si>
  <si>
    <t>4 to 5</t>
  </si>
  <si>
    <t>5 to 6</t>
  </si>
  <si>
    <t xml:space="preserve">6 to 7 </t>
  </si>
  <si>
    <t>7 to 8</t>
  </si>
  <si>
    <t xml:space="preserve"> 8 to 9</t>
  </si>
  <si>
    <t>9 to 10</t>
  </si>
  <si>
    <t>10 to 11</t>
  </si>
  <si>
    <t>11 to 12</t>
  </si>
  <si>
    <t>12 to 13</t>
  </si>
  <si>
    <t>13 to 14</t>
  </si>
  <si>
    <t>14 to 15</t>
  </si>
  <si>
    <t>15 to finish</t>
  </si>
  <si>
    <t>elevation change in metres</t>
  </si>
  <si>
    <t>gradient of the track in degrees</t>
  </si>
  <si>
    <t>distance travelled each sector</t>
  </si>
  <si>
    <t>distance travelled overall</t>
  </si>
  <si>
    <t>rolling friction coefficient</t>
  </si>
  <si>
    <t>rolling friction</t>
  </si>
  <si>
    <t>https://www.engineeringtoolbox.com/rolling-friction-resistance-d_1303.html</t>
  </si>
  <si>
    <r>
      <t>air density (kg/m</t>
    </r>
    <r>
      <rPr>
        <sz val="11"/>
        <color theme="0"/>
        <rFont val="Calibri"/>
        <family val="2"/>
      </rPr>
      <t>³</t>
    </r>
    <r>
      <rPr>
        <sz val="9.9"/>
        <color theme="0"/>
        <rFont val="Calibri"/>
        <family val="2"/>
      </rPr>
      <t>)</t>
    </r>
  </si>
  <si>
    <t>track basic info</t>
  </si>
  <si>
    <t>length</t>
  </si>
  <si>
    <t>terrain</t>
  </si>
  <si>
    <t>coners</t>
  </si>
  <si>
    <t xml:space="preserve">1km </t>
  </si>
  <si>
    <t>mud</t>
  </si>
  <si>
    <t>https://www.blitzworld.co.uk/All-Buggies/Adult-Buggies/Subaru-DX30-Blitzworld-buggy</t>
  </si>
  <si>
    <t>buggy choice</t>
  </si>
  <si>
    <t>gears</t>
  </si>
  <si>
    <t>torgue</t>
  </si>
  <si>
    <t>45 hp @6500 rpm</t>
  </si>
  <si>
    <t>113 km/h or 70 mph</t>
  </si>
  <si>
    <t>engine cc</t>
  </si>
  <si>
    <t>450 cc</t>
  </si>
  <si>
    <t>42 Nm @ 5000 rpm</t>
  </si>
  <si>
    <t>power to weight</t>
  </si>
  <si>
    <t>123 hp per tonne</t>
  </si>
  <si>
    <t>transmission</t>
  </si>
  <si>
    <t xml:space="preserve">6 speed manual </t>
  </si>
  <si>
    <t>fuel type</t>
  </si>
  <si>
    <t>4 stroke petrol</t>
  </si>
  <si>
    <t>drive</t>
  </si>
  <si>
    <t>2WD rear fixed axle via chain</t>
  </si>
  <si>
    <t>365 kg</t>
  </si>
  <si>
    <t>front tyres</t>
  </si>
  <si>
    <t>rear tyres</t>
  </si>
  <si>
    <t>25x10x12</t>
  </si>
  <si>
    <t>power (Kw)</t>
  </si>
  <si>
    <t>width(mm)</t>
  </si>
  <si>
    <t>length(mm)</t>
  </si>
  <si>
    <t>(mm)</t>
  </si>
  <si>
    <r>
      <t>front cross sectional area assumption (mm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</si>
  <si>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wheel size front (inch)</t>
  </si>
  <si>
    <t>wheel size rear (inch)</t>
  </si>
  <si>
    <t>rolling radius front</t>
  </si>
  <si>
    <t>rolling radius rear</t>
  </si>
  <si>
    <t>25x8-12</t>
  </si>
  <si>
    <t>acceleration (s) 0-60 mph (assumption)</t>
  </si>
  <si>
    <t>time in each sector</t>
  </si>
  <si>
    <t>sector length (m)</t>
  </si>
  <si>
    <t xml:space="preserve">start </t>
  </si>
  <si>
    <t>Velocity (m/s)</t>
  </si>
  <si>
    <t>Rolling resistance (N)</t>
  </si>
  <si>
    <t>weight (kg)</t>
  </si>
  <si>
    <t>Aero resistance (N)</t>
  </si>
  <si>
    <r>
      <t>front cross sectional area assumption (m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</si>
  <si>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Gradient Resistance (N)</t>
  </si>
  <si>
    <t>Total Resistance (N)</t>
  </si>
  <si>
    <t>Power required (W)</t>
  </si>
  <si>
    <t>G (% of 1G)</t>
  </si>
  <si>
    <t>start</t>
  </si>
  <si>
    <r>
      <t>Acceleration (m/s</t>
    </r>
    <r>
      <rPr>
        <sz val="11"/>
        <color theme="0"/>
        <rFont val="Calibri"/>
        <family val="2"/>
      </rPr>
      <t>²)</t>
    </r>
  </si>
  <si>
    <t>Sector</t>
  </si>
  <si>
    <t>Height on slope (m)</t>
  </si>
  <si>
    <t>Elevation change in metres</t>
  </si>
  <si>
    <t>Gradient of the track in degrees</t>
  </si>
  <si>
    <t>Rolling friction coefficient</t>
  </si>
  <si>
    <r>
      <t>Air density (kg/m</t>
    </r>
    <r>
      <rPr>
        <sz val="11"/>
        <color theme="0"/>
        <rFont val="Calibri"/>
        <family val="2"/>
      </rPr>
      <t>³</t>
    </r>
    <r>
      <rPr>
        <sz val="9.9"/>
        <color theme="0"/>
        <rFont val="Calibri"/>
        <family val="2"/>
      </rPr>
      <t>)</t>
    </r>
  </si>
  <si>
    <r>
      <t>Gravity (m/s</t>
    </r>
    <r>
      <rPr>
        <sz val="11"/>
        <color theme="0"/>
        <rFont val="Calibri"/>
        <family val="2"/>
      </rPr>
      <t>²</t>
    </r>
    <r>
      <rPr>
        <sz val="11"/>
        <color theme="0"/>
        <rFont val="Calibri"/>
        <family val="2"/>
        <scheme val="minor"/>
      </rPr>
      <t>)</t>
    </r>
  </si>
  <si>
    <t>Track information</t>
  </si>
  <si>
    <t>Track timing</t>
  </si>
  <si>
    <t>Power unused (w)</t>
  </si>
  <si>
    <t>Avg power per second in a sector</t>
  </si>
  <si>
    <t>Distance travelled overall (m)</t>
  </si>
  <si>
    <t>Distance travelled each sector (m)</t>
  </si>
  <si>
    <t>air density</t>
  </si>
  <si>
    <t>https://www.engineersedge.com/calculators/air-density.htm</t>
  </si>
  <si>
    <t>track info</t>
  </si>
  <si>
    <t>https://gran-turismo.fandom.com/wiki/Suzuka_Circuit_East</t>
  </si>
  <si>
    <t>maximum power avaliable (w)</t>
  </si>
  <si>
    <t>Reference's</t>
  </si>
  <si>
    <t>C.D (Assumption)</t>
  </si>
  <si>
    <t>torque</t>
  </si>
  <si>
    <t>height (mm)</t>
  </si>
  <si>
    <t>width (mm)</t>
  </si>
  <si>
    <t>length (mm)</t>
  </si>
  <si>
    <t>0-60 assumption</t>
  </si>
  <si>
    <t>https://www.carspecs.us/calculator/0-60</t>
  </si>
  <si>
    <t>Accumulative distance (m)</t>
  </si>
  <si>
    <t>Accumulative time (S)</t>
  </si>
  <si>
    <t>gravity (m/s^2)</t>
  </si>
  <si>
    <t>includes two males</t>
  </si>
  <si>
    <t xml:space="preserve">Avg power per second </t>
  </si>
  <si>
    <t>Inertia Resistance</t>
  </si>
  <si>
    <t>https://www.cars-data.com/en/volkswagen-up-1.0-tsi-90hp-up-beats-specs/79853/tech</t>
  </si>
  <si>
    <t>1.0 litre replacement engine from vw up! 2016</t>
  </si>
  <si>
    <t>total max power</t>
  </si>
  <si>
    <t>hourse power</t>
  </si>
  <si>
    <t>total max torque</t>
  </si>
  <si>
    <t>no. of cylinders</t>
  </si>
  <si>
    <t>no. of valves</t>
  </si>
  <si>
    <t>max power @ rpm</t>
  </si>
  <si>
    <t>max torque @ rpm</t>
  </si>
  <si>
    <t>top speed (km/h)</t>
  </si>
  <si>
    <t>top speed (mph)</t>
  </si>
  <si>
    <t>0 - 62.1 mph (seconds)</t>
  </si>
  <si>
    <t>gear ratio</t>
  </si>
  <si>
    <t>1st</t>
  </si>
  <si>
    <t>2nd</t>
  </si>
  <si>
    <t>3rd</t>
  </si>
  <si>
    <t>4th</t>
  </si>
  <si>
    <t>5th</t>
  </si>
  <si>
    <t>reverse</t>
  </si>
  <si>
    <t>3.64:1</t>
  </si>
  <si>
    <t>1.96:1</t>
  </si>
  <si>
    <t>1.27:1</t>
  </si>
  <si>
    <t>0.96:1</t>
  </si>
  <si>
    <t>0.8:1</t>
  </si>
  <si>
    <t>3.42:1</t>
  </si>
  <si>
    <t>4.17:1</t>
  </si>
  <si>
    <t>final transmission</t>
  </si>
  <si>
    <t>rpm @ 120/kmh</t>
  </si>
  <si>
    <t>compression ratio</t>
  </si>
  <si>
    <t>10,5:1</t>
  </si>
  <si>
    <t>bore x stroke</t>
  </si>
  <si>
    <t>74.5 x 76.4</t>
  </si>
  <si>
    <t>cylinder capacity</t>
  </si>
  <si>
    <t>generator img gen 3</t>
  </si>
  <si>
    <t>up to 400</t>
  </si>
  <si>
    <t>instant acceleration togue (Nm)</t>
  </si>
  <si>
    <t>efficiency</t>
  </si>
  <si>
    <t>max power range</t>
  </si>
  <si>
    <t>90 kw</t>
  </si>
  <si>
    <t xml:space="preserve">torque range </t>
  </si>
  <si>
    <t>400 Nm</t>
  </si>
  <si>
    <t>voltage range</t>
  </si>
  <si>
    <t>max speed</t>
  </si>
  <si>
    <t>6800 1/min</t>
  </si>
  <si>
    <t>https://www.bosch-mobility-solutions.com/en/products-and-services/passenger-cars-and-light-commercial-vehicles/powertrain-systems/electric-drive/48v-battery/integrated-motor-generator/</t>
  </si>
  <si>
    <t>https://www.estaca.fr/en/news/hybrid-energy-storage-system-electric-vehicles.html</t>
  </si>
  <si>
    <t>rpm @wheels</t>
  </si>
  <si>
    <t>wheel size</t>
  </si>
  <si>
    <t>tyre sidewall size</t>
  </si>
  <si>
    <t>wheel circumference</t>
  </si>
  <si>
    <t>metres/minute</t>
  </si>
  <si>
    <t>rpm @ wheels</t>
  </si>
  <si>
    <t>Chain efficiency</t>
  </si>
  <si>
    <t>efficiency losses</t>
  </si>
  <si>
    <t>Power Efficiency losses table</t>
  </si>
  <si>
    <t>max power at the wheels</t>
  </si>
  <si>
    <t>chain losses 3%</t>
  </si>
  <si>
    <t>motor efficiency 94%</t>
  </si>
  <si>
    <t>continuos torque</t>
  </si>
  <si>
    <t>max rpm</t>
  </si>
  <si>
    <t>peak torque</t>
  </si>
  <si>
    <t>torque @ best eff</t>
  </si>
  <si>
    <t>150Nm</t>
  </si>
  <si>
    <t>rpm @ best eff T</t>
  </si>
  <si>
    <t>800V  - motor controller @450Arms P400 RS</t>
  </si>
  <si>
    <t xml:space="preserve">efficiency is combined with motor </t>
  </si>
  <si>
    <t>output (kw) max</t>
  </si>
  <si>
    <t>continuos power (kw)</t>
  </si>
  <si>
    <t>0-60</t>
  </si>
  <si>
    <t>generator efficiency 95%</t>
  </si>
  <si>
    <t>W</t>
  </si>
  <si>
    <t>Kw</t>
  </si>
  <si>
    <t>component</t>
  </si>
  <si>
    <t>battery  - nissan leaf</t>
  </si>
  <si>
    <t>weight kg</t>
  </si>
  <si>
    <t>cells</t>
  </si>
  <si>
    <t>charge efficiency</t>
  </si>
  <si>
    <t>discharge effieciency 96%</t>
  </si>
  <si>
    <t>discharge efficiency assumption</t>
  </si>
  <si>
    <t>charge efficiency 99%</t>
  </si>
  <si>
    <t>YASA P400 R motor</t>
  </si>
  <si>
    <t>new weight of buggy</t>
  </si>
  <si>
    <t>weght (kg)</t>
  </si>
  <si>
    <t>wight of generator (assumption)</t>
  </si>
  <si>
    <t>25kg similar to motor</t>
  </si>
  <si>
    <t xml:space="preserve">below is the new track table taking into account the changes to the buggy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</si>
</sst>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</font>
    <font>
      <sz val="9.9"/>
      <color theme="0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2C7864"/>
        <bgColor indexed="64"/>
      </patternFill>
    </fill>
    <fill>
      <patternFill patternType="solid">
        <fgColor rgb="FF78C29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D7A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4">
    <xf numFmtId="0" fontId="0" fillId="0" borderId="0" xfId="0"/>
    <xf numFmtId="0" fontId="1" fillId="4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" fontId="2" fillId="5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16" fontId="2" fillId="9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1" fillId="8" borderId="1" xfId="0" applyFont="1" applyFill="1" applyBorder="1"/>
    <xf numFmtId="0" fontId="2" fillId="0" borderId="0" xfId="0" applyFont="1" applyFill="1" applyBorder="1" applyAlignment="1">
      <alignment horizontal="center"/>
    </xf>
    <xf numFmtId="10" fontId="0" fillId="9" borderId="1" xfId="0" applyNumberFormat="1" applyFill="1" applyBorder="1" applyAlignment="1">
      <alignment horizontal="center"/>
    </xf>
    <xf numFmtId="0" fontId="0" fillId="11" borderId="1" xfId="0" applyFill="1" applyBorder="1"/>
    <xf numFmtId="0" fontId="1" fillId="4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11" borderId="1" xfId="0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Border="1"/>
    <xf numFmtId="0" fontId="1" fillId="4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2" borderId="1" xfId="0" applyFont="1" applyFill="1" applyBorder="1"/>
    <xf numFmtId="0" fontId="1" fillId="12" borderId="5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10" fontId="0" fillId="13" borderId="1" xfId="0" applyNumberFormat="1" applyFill="1" applyBorder="1" applyAlignment="1">
      <alignment horizontal="center"/>
    </xf>
    <xf numFmtId="0" fontId="2" fillId="13" borderId="1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16" fontId="2" fillId="13" borderId="1" xfId="0" applyNumberFormat="1" applyFont="1" applyFill="1" applyBorder="1" applyAlignment="1">
      <alignment horizontal="center"/>
    </xf>
    <xf numFmtId="0" fontId="2" fillId="13" borderId="5" xfId="0" applyFont="1" applyFill="1" applyBorder="1" applyAlignment="1">
      <alignment horizontal="center" vertical="center"/>
    </xf>
    <xf numFmtId="0" fontId="7" fillId="0" borderId="0" xfId="1"/>
    <xf numFmtId="0" fontId="0" fillId="15" borderId="1" xfId="0" applyFill="1" applyBorder="1" applyAlignment="1">
      <alignment horizontal="center" vertical="center"/>
    </xf>
    <xf numFmtId="9" fontId="0" fillId="1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9" fontId="0" fillId="17" borderId="1" xfId="0" applyNumberForma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16" borderId="1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/>
    </xf>
    <xf numFmtId="9" fontId="0" fillId="17" borderId="1" xfId="0" applyNumberFormat="1" applyFill="1" applyBorder="1" applyAlignment="1">
      <alignment horizontal="center"/>
    </xf>
    <xf numFmtId="0" fontId="1" fillId="18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/>
    </xf>
    <xf numFmtId="0" fontId="0" fillId="20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7D7A00"/>
      <color rgb="FF78C29F"/>
      <color rgb="FF2C7864"/>
      <color rgb="FFCC99FF"/>
      <color rgb="FFA88160"/>
      <color rgb="FF247A7A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Velocity against</a:t>
            </a:r>
            <a:r>
              <a:rPr lang="en-US" u="sng" baseline="0"/>
              <a:t> Time</a:t>
            </a:r>
            <a:endParaRPr lang="en-US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'.ignore'!$F$3:$F$19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'.ignore'!$G$3:$G$19</c:f>
              <c:numCache>
                <c:formatCode>General</c:formatCode>
                <c:ptCount val="17"/>
                <c:pt idx="0">
                  <c:v>0</c:v>
                </c:pt>
                <c:pt idx="1">
                  <c:v>21.428571428571427</c:v>
                </c:pt>
                <c:pt idx="2">
                  <c:v>22.666666666666668</c:v>
                </c:pt>
                <c:pt idx="3">
                  <c:v>15.285714285714286</c:v>
                </c:pt>
                <c:pt idx="4">
                  <c:v>16</c:v>
                </c:pt>
                <c:pt idx="5">
                  <c:v>15.5</c:v>
                </c:pt>
                <c:pt idx="6">
                  <c:v>14.5</c:v>
                </c:pt>
                <c:pt idx="7">
                  <c:v>16</c:v>
                </c:pt>
                <c:pt idx="8">
                  <c:v>14.2</c:v>
                </c:pt>
                <c:pt idx="9">
                  <c:v>14.666666666666666</c:v>
                </c:pt>
                <c:pt idx="10">
                  <c:v>14.5</c:v>
                </c:pt>
                <c:pt idx="11">
                  <c:v>13.333333333333334</c:v>
                </c:pt>
                <c:pt idx="12">
                  <c:v>15.111111111111111</c:v>
                </c:pt>
                <c:pt idx="13">
                  <c:v>15.5</c:v>
                </c:pt>
                <c:pt idx="14">
                  <c:v>13.333333333333334</c:v>
                </c:pt>
                <c:pt idx="15">
                  <c:v>16</c:v>
                </c:pt>
                <c:pt idx="16">
                  <c:v>25.714285714285715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F5-41B1-BB2F-450ADB0A9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6443072"/>
        <c:axId val="596443400"/>
      </c:lineChart>
      <c:catAx>
        <c:axId val="596443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6443400"/>
        <c:crosses val="autoZero"/>
        <c:auto val="1"/>
        <c:lblAlgn val="ctr"/>
        <c:lblOffset val="100"/>
        <c:noMultiLvlLbl val="0"/>
      </c:catAx>
      <c:valAx>
        <c:axId val="596443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644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glow>
        <a:schemeClr val="accent1">
          <a:alpha val="40000"/>
        </a:schemeClr>
      </a:glow>
      <a:softEdge rad="0"/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Height on slope from start to finish over Distance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'.ignore'!$H$25</c:f>
              <c:strCache>
                <c:ptCount val="1"/>
                <c:pt idx="0">
                  <c:v>Height on slope (m)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'.ignore'!$K$26:$K$42</c:f>
              <c:numCache>
                <c:formatCode>General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218</c:v>
                </c:pt>
                <c:pt idx="3">
                  <c:v>271.5</c:v>
                </c:pt>
                <c:pt idx="4">
                  <c:v>351.5</c:v>
                </c:pt>
                <c:pt idx="5">
                  <c:v>382.5</c:v>
                </c:pt>
                <c:pt idx="6">
                  <c:v>411.5</c:v>
                </c:pt>
                <c:pt idx="7">
                  <c:v>443.5</c:v>
                </c:pt>
                <c:pt idx="8">
                  <c:v>479</c:v>
                </c:pt>
                <c:pt idx="9">
                  <c:v>523</c:v>
                </c:pt>
                <c:pt idx="10">
                  <c:v>581</c:v>
                </c:pt>
                <c:pt idx="11">
                  <c:v>621</c:v>
                </c:pt>
                <c:pt idx="12">
                  <c:v>689</c:v>
                </c:pt>
                <c:pt idx="13">
                  <c:v>720</c:v>
                </c:pt>
                <c:pt idx="14">
                  <c:v>740</c:v>
                </c:pt>
                <c:pt idx="15">
                  <c:v>820</c:v>
                </c:pt>
                <c:pt idx="16">
                  <c:v>1000</c:v>
                </c:pt>
              </c:numCache>
            </c:numRef>
          </c:cat>
          <c:val>
            <c:numRef>
              <c:f>'.ignore'!$H$26:$H$42</c:f>
              <c:numCache>
                <c:formatCode>General</c:formatCode>
                <c:ptCount val="17"/>
                <c:pt idx="0">
                  <c:v>0</c:v>
                </c:pt>
                <c:pt idx="1">
                  <c:v>-10</c:v>
                </c:pt>
                <c:pt idx="2">
                  <c:v>-16</c:v>
                </c:pt>
                <c:pt idx="3">
                  <c:v>-13.5</c:v>
                </c:pt>
                <c:pt idx="4">
                  <c:v>-8</c:v>
                </c:pt>
                <c:pt idx="5">
                  <c:v>-5.5</c:v>
                </c:pt>
                <c:pt idx="6">
                  <c:v>-3.5</c:v>
                </c:pt>
                <c:pt idx="7">
                  <c:v>-1</c:v>
                </c:pt>
                <c:pt idx="8">
                  <c:v>1</c:v>
                </c:pt>
                <c:pt idx="9">
                  <c:v>3</c:v>
                </c:pt>
                <c:pt idx="10">
                  <c:v>5.5</c:v>
                </c:pt>
                <c:pt idx="11">
                  <c:v>7</c:v>
                </c:pt>
                <c:pt idx="12">
                  <c:v>9</c:v>
                </c:pt>
                <c:pt idx="13">
                  <c:v>12</c:v>
                </c:pt>
                <c:pt idx="14">
                  <c:v>14</c:v>
                </c:pt>
                <c:pt idx="15">
                  <c:v>12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A4-44C0-8999-B2995363499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22111000"/>
        <c:axId val="522113296"/>
      </c:lineChart>
      <c:catAx>
        <c:axId val="522111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113296"/>
        <c:crosses val="autoZero"/>
        <c:auto val="1"/>
        <c:lblAlgn val="ctr"/>
        <c:lblOffset val="100"/>
        <c:noMultiLvlLbl val="0"/>
      </c:catAx>
      <c:valAx>
        <c:axId val="5221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Change in height on the slope 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111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Percent of 1 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percent of 1 G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'.ignore'!$B$3:$B$19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'.ignore'!$I$3:$I$19</c:f>
              <c:numCache>
                <c:formatCode>0.00%</c:formatCode>
                <c:ptCount val="17"/>
                <c:pt idx="0">
                  <c:v>0</c:v>
                </c:pt>
                <c:pt idx="1">
                  <c:v>0.30030612244897958</c:v>
                </c:pt>
                <c:pt idx="2">
                  <c:v>4.0485714285714382E-2</c:v>
                </c:pt>
                <c:pt idx="3">
                  <c:v>-0.2068775510204082</c:v>
                </c:pt>
                <c:pt idx="4">
                  <c:v>1.4014285714285701E-2</c:v>
                </c:pt>
                <c:pt idx="5">
                  <c:v>-2.4525000000000002E-2</c:v>
                </c:pt>
                <c:pt idx="6">
                  <c:v>-4.9050000000000003E-2</c:v>
                </c:pt>
                <c:pt idx="7">
                  <c:v>7.3575000000000002E-2</c:v>
                </c:pt>
                <c:pt idx="8">
                  <c:v>-7.0632000000000028E-2</c:v>
                </c:pt>
                <c:pt idx="9">
                  <c:v>1.5260000000000004E-2</c:v>
                </c:pt>
                <c:pt idx="10">
                  <c:v>-4.0874999999999861E-3</c:v>
                </c:pt>
                <c:pt idx="11">
                  <c:v>-3.8149999999999983E-2</c:v>
                </c:pt>
                <c:pt idx="12">
                  <c:v>3.8755555555555536E-2</c:v>
                </c:pt>
                <c:pt idx="13">
                  <c:v>1.9075000000000019E-2</c:v>
                </c:pt>
                <c:pt idx="14">
                  <c:v>-0.14169999999999996</c:v>
                </c:pt>
                <c:pt idx="15">
                  <c:v>5.2319999999999992E-2</c:v>
                </c:pt>
                <c:pt idx="16">
                  <c:v>0.13613877551020412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15-4025-B03E-E3AB2268F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675232"/>
        <c:axId val="515679824"/>
      </c:lineChart>
      <c:catAx>
        <c:axId val="515675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Sectors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9824"/>
        <c:crosses val="autoZero"/>
        <c:auto val="1"/>
        <c:lblAlgn val="ctr"/>
        <c:lblOffset val="100"/>
        <c:noMultiLvlLbl val="0"/>
      </c:catAx>
      <c:valAx>
        <c:axId val="515679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Percent</a:t>
                </a:r>
                <a:r>
                  <a:rPr lang="en-GB" baseline="0"/>
                  <a:t>age (%) of 1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Height on slope from start to finish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Change in height on the slope (m)</c:v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'.ignore'!$F$3:$F$19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'.ignore'!$H$26:$H$42</c:f>
              <c:numCache>
                <c:formatCode>General</c:formatCode>
                <c:ptCount val="17"/>
                <c:pt idx="0">
                  <c:v>0</c:v>
                </c:pt>
                <c:pt idx="1">
                  <c:v>-10</c:v>
                </c:pt>
                <c:pt idx="2">
                  <c:v>-16</c:v>
                </c:pt>
                <c:pt idx="3">
                  <c:v>-13.5</c:v>
                </c:pt>
                <c:pt idx="4">
                  <c:v>-8</c:v>
                </c:pt>
                <c:pt idx="5">
                  <c:v>-5.5</c:v>
                </c:pt>
                <c:pt idx="6">
                  <c:v>-3.5</c:v>
                </c:pt>
                <c:pt idx="7">
                  <c:v>-1</c:v>
                </c:pt>
                <c:pt idx="8">
                  <c:v>1</c:v>
                </c:pt>
                <c:pt idx="9">
                  <c:v>3</c:v>
                </c:pt>
                <c:pt idx="10">
                  <c:v>5.5</c:v>
                </c:pt>
                <c:pt idx="11">
                  <c:v>7</c:v>
                </c:pt>
                <c:pt idx="12">
                  <c:v>9</c:v>
                </c:pt>
                <c:pt idx="13">
                  <c:v>12</c:v>
                </c:pt>
                <c:pt idx="14">
                  <c:v>14</c:v>
                </c:pt>
                <c:pt idx="15">
                  <c:v>12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FF-43AB-820A-E67894CC3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670968"/>
        <c:axId val="515671952"/>
      </c:lineChart>
      <c:catAx>
        <c:axId val="515670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1952"/>
        <c:crosses val="autoZero"/>
        <c:auto val="1"/>
        <c:lblAlgn val="ctr"/>
        <c:lblOffset val="100"/>
        <c:noMultiLvlLbl val="0"/>
      </c:catAx>
      <c:valAx>
        <c:axId val="51567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in height on the slope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0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Acceleration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'.ignore'!$H$2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'.ignore'!$F$3:$F$19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'.ignore'!$H$3:$H$19</c:f>
              <c:numCache>
                <c:formatCode>General</c:formatCode>
                <c:ptCount val="17"/>
                <c:pt idx="0">
                  <c:v>0</c:v>
                </c:pt>
                <c:pt idx="1">
                  <c:v>3.0612244897959182</c:v>
                </c:pt>
                <c:pt idx="2">
                  <c:v>0.41269841269841362</c:v>
                </c:pt>
                <c:pt idx="3">
                  <c:v>-2.1088435374149661</c:v>
                </c:pt>
                <c:pt idx="4">
                  <c:v>0.14285714285714271</c:v>
                </c:pt>
                <c:pt idx="5">
                  <c:v>-0.25</c:v>
                </c:pt>
                <c:pt idx="6">
                  <c:v>-0.5</c:v>
                </c:pt>
                <c:pt idx="7">
                  <c:v>0.75</c:v>
                </c:pt>
                <c:pt idx="8">
                  <c:v>-0.72000000000000031</c:v>
                </c:pt>
                <c:pt idx="9">
                  <c:v>0.15555555555555559</c:v>
                </c:pt>
                <c:pt idx="10">
                  <c:v>-4.1666666666666519E-2</c:v>
                </c:pt>
                <c:pt idx="11">
                  <c:v>-0.38888888888888867</c:v>
                </c:pt>
                <c:pt idx="12">
                  <c:v>0.39506172839506148</c:v>
                </c:pt>
                <c:pt idx="13">
                  <c:v>0.19444444444444464</c:v>
                </c:pt>
                <c:pt idx="14">
                  <c:v>-1.444444444444444</c:v>
                </c:pt>
                <c:pt idx="15">
                  <c:v>0.53333333333333321</c:v>
                </c:pt>
                <c:pt idx="16">
                  <c:v>1.3877551020408165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96-4F43-BE82-1E47A4F200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3287312"/>
        <c:axId val="603288952"/>
      </c:lineChart>
      <c:catAx>
        <c:axId val="603287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288952"/>
        <c:crosses val="autoZero"/>
        <c:auto val="1"/>
        <c:lblAlgn val="ctr"/>
        <c:lblOffset val="100"/>
        <c:noMultiLvlLbl val="0"/>
      </c:catAx>
      <c:valAx>
        <c:axId val="603288952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287312"/>
        <c:crosses val="autoZero"/>
        <c:crossBetween val="between"/>
      </c:valAx>
      <c:spPr>
        <a:noFill/>
        <a:ln>
          <a:solidFill>
            <a:schemeClr val="bg1"/>
          </a:solidFill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3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Accumalative distance (m) over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'.ignore'!$D$2</c:f>
              <c:strCache>
                <c:ptCount val="1"/>
                <c:pt idx="0">
                  <c:v>Accumulative distance (m)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'.ignore'!$F$3:$F$19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'.ignore'!$D$3:$D$19</c:f>
              <c:numCache>
                <c:formatCode>General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218</c:v>
                </c:pt>
                <c:pt idx="3">
                  <c:v>271.5</c:v>
                </c:pt>
                <c:pt idx="4">
                  <c:v>351.5</c:v>
                </c:pt>
                <c:pt idx="5">
                  <c:v>382.5</c:v>
                </c:pt>
                <c:pt idx="6">
                  <c:v>411.5</c:v>
                </c:pt>
                <c:pt idx="7">
                  <c:v>443.5</c:v>
                </c:pt>
                <c:pt idx="8">
                  <c:v>479</c:v>
                </c:pt>
                <c:pt idx="9">
                  <c:v>523</c:v>
                </c:pt>
                <c:pt idx="10">
                  <c:v>581</c:v>
                </c:pt>
                <c:pt idx="11">
                  <c:v>621</c:v>
                </c:pt>
                <c:pt idx="12">
                  <c:v>689</c:v>
                </c:pt>
                <c:pt idx="13">
                  <c:v>720</c:v>
                </c:pt>
                <c:pt idx="14">
                  <c:v>740</c:v>
                </c:pt>
                <c:pt idx="15">
                  <c:v>820</c:v>
                </c:pt>
                <c:pt idx="16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C9-4145-A661-D838B74A2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6802128"/>
        <c:axId val="416803112"/>
      </c:lineChart>
      <c:catAx>
        <c:axId val="416802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803112"/>
        <c:crosses val="autoZero"/>
        <c:auto val="1"/>
        <c:lblAlgn val="ctr"/>
        <c:lblOffset val="100"/>
        <c:noMultiLvlLbl val="0"/>
      </c:catAx>
      <c:valAx>
        <c:axId val="41680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802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Power Required in each Sector vs Total Power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'.ignore'!$N$2</c:f>
              <c:strCache>
                <c:ptCount val="1"/>
                <c:pt idx="0">
                  <c:v>Power required (W)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2AD-4CE2-8C8D-8487AC322281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2AD-4CE2-8C8D-8487AC322281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42AD-4CE2-8C8D-8487AC322281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2AD-4CE2-8C8D-8487AC322281}"/>
              </c:ext>
            </c:extLst>
          </c:dPt>
          <c:cat>
            <c:strRef>
              <c:f>'.ignore'!$B$3:$B$19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'.ignore'!$N$3:$N$19</c:f>
              <c:numCache>
                <c:formatCode>General</c:formatCode>
                <c:ptCount val="17"/>
                <c:pt idx="0">
                  <c:v>0</c:v>
                </c:pt>
                <c:pt idx="1">
                  <c:v>-28548.876411928195</c:v>
                </c:pt>
                <c:pt idx="2">
                  <c:v>-29670.450533404681</c:v>
                </c:pt>
                <c:pt idx="3">
                  <c:v>31450.823859744152</c:v>
                </c:pt>
                <c:pt idx="4">
                  <c:v>33073.023652944481</c:v>
                </c:pt>
                <c:pt idx="5">
                  <c:v>31935.345302239966</c:v>
                </c:pt>
                <c:pt idx="6">
                  <c:v>29689.424746030934</c:v>
                </c:pt>
                <c:pt idx="7">
                  <c:v>33073.023652944481</c:v>
                </c:pt>
                <c:pt idx="8">
                  <c:v>29023.002496138623</c:v>
                </c:pt>
                <c:pt idx="9">
                  <c:v>30061.09827173244</c:v>
                </c:pt>
                <c:pt idx="10">
                  <c:v>29689.424746030934</c:v>
                </c:pt>
                <c:pt idx="11">
                  <c:v>27115.913780120401</c:v>
                </c:pt>
                <c:pt idx="12">
                  <c:v>31057.358122003116</c:v>
                </c:pt>
                <c:pt idx="13">
                  <c:v>31935.345302239966</c:v>
                </c:pt>
                <c:pt idx="14">
                  <c:v>27115.913780120401</c:v>
                </c:pt>
                <c:pt idx="15">
                  <c:v>-22703.379979344478</c:v>
                </c:pt>
                <c:pt idx="16">
                  <c:v>-32042.265555538324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AD-4CE2-8C8D-8487AC322281}"/>
            </c:ext>
          </c:extLst>
        </c:ser>
        <c:ser>
          <c:idx val="1"/>
          <c:order val="1"/>
          <c:tx>
            <c:strRef>
              <c:f>'.ignore'!$P$2</c:f>
              <c:strCache>
                <c:ptCount val="1"/>
                <c:pt idx="0">
                  <c:v>Power unused (w)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'.ignore'!$B$3:$B$19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'.ignore'!$Q$3:$Q$19</c:f>
              <c:numCache>
                <c:formatCode>General</c:formatCode>
                <c:ptCount val="17"/>
                <c:pt idx="0">
                  <c:v>33557.046979865801</c:v>
                </c:pt>
                <c:pt idx="1">
                  <c:v>33557.046979865801</c:v>
                </c:pt>
                <c:pt idx="2">
                  <c:v>33557.046979865801</c:v>
                </c:pt>
                <c:pt idx="3">
                  <c:v>2106.2231201216491</c:v>
                </c:pt>
                <c:pt idx="4">
                  <c:v>484.0233269213204</c:v>
                </c:pt>
                <c:pt idx="5">
                  <c:v>1621.7016776258351</c:v>
                </c:pt>
                <c:pt idx="6">
                  <c:v>3867.6222338348671</c:v>
                </c:pt>
                <c:pt idx="7">
                  <c:v>484.0233269213204</c:v>
                </c:pt>
                <c:pt idx="8">
                  <c:v>4534.0444837271789</c:v>
                </c:pt>
                <c:pt idx="9">
                  <c:v>3495.9487081333609</c:v>
                </c:pt>
                <c:pt idx="10">
                  <c:v>3867.6222338348671</c:v>
                </c:pt>
                <c:pt idx="11">
                  <c:v>6441.1331997453999</c:v>
                </c:pt>
                <c:pt idx="12">
                  <c:v>2499.6888578626858</c:v>
                </c:pt>
                <c:pt idx="13">
                  <c:v>1621.7016776258351</c:v>
                </c:pt>
                <c:pt idx="14">
                  <c:v>6441.1331997453999</c:v>
                </c:pt>
                <c:pt idx="15">
                  <c:v>33557.046979865801</c:v>
                </c:pt>
                <c:pt idx="16">
                  <c:v>33557.046979865801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2AD-4CE2-8C8D-8487AC3222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4691040"/>
        <c:axId val="424691368"/>
      </c:barChart>
      <c:catAx>
        <c:axId val="4246910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Sector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691368"/>
        <c:crosses val="autoZero"/>
        <c:auto val="1"/>
        <c:lblAlgn val="ctr"/>
        <c:lblOffset val="100"/>
        <c:noMultiLvlLbl val="0"/>
      </c:catAx>
      <c:valAx>
        <c:axId val="42469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691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Aero resistance (N) over Distance (m)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'.ignore'!$K$2</c:f>
              <c:strCache>
                <c:ptCount val="1"/>
                <c:pt idx="0">
                  <c:v>Aero resistance (N)</c:v>
                </c:pt>
              </c:strCache>
            </c:strRef>
          </c:tx>
          <c:spPr>
            <a:ln w="28575" cap="rnd">
              <a:solidFill>
                <a:srgbClr val="9966FF"/>
              </a:solidFill>
              <a:round/>
            </a:ln>
            <a:effectLst/>
          </c:spPr>
          <c:marker>
            <c:symbol val="none"/>
          </c:marker>
          <c:cat>
            <c:numRef>
              <c:f>'.ignore'!$D$3:$D$19</c:f>
              <c:numCache>
                <c:formatCode>General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218</c:v>
                </c:pt>
                <c:pt idx="3">
                  <c:v>271.5</c:v>
                </c:pt>
                <c:pt idx="4">
                  <c:v>351.5</c:v>
                </c:pt>
                <c:pt idx="5">
                  <c:v>382.5</c:v>
                </c:pt>
                <c:pt idx="6">
                  <c:v>411.5</c:v>
                </c:pt>
                <c:pt idx="7">
                  <c:v>443.5</c:v>
                </c:pt>
                <c:pt idx="8">
                  <c:v>479</c:v>
                </c:pt>
                <c:pt idx="9">
                  <c:v>523</c:v>
                </c:pt>
                <c:pt idx="10">
                  <c:v>581</c:v>
                </c:pt>
                <c:pt idx="11">
                  <c:v>621</c:v>
                </c:pt>
                <c:pt idx="12">
                  <c:v>689</c:v>
                </c:pt>
                <c:pt idx="13">
                  <c:v>720</c:v>
                </c:pt>
                <c:pt idx="14">
                  <c:v>740</c:v>
                </c:pt>
                <c:pt idx="15">
                  <c:v>820</c:v>
                </c:pt>
                <c:pt idx="16">
                  <c:v>1000</c:v>
                </c:pt>
              </c:numCache>
            </c:numRef>
          </c:cat>
          <c:val>
            <c:numRef>
              <c:f>'.ignore'!$K$3:$K$19</c:f>
              <c:numCache>
                <c:formatCode>General</c:formatCode>
                <c:ptCount val="17"/>
                <c:pt idx="0">
                  <c:v>0</c:v>
                </c:pt>
                <c:pt idx="1">
                  <c:v>195.89271428571425</c:v>
                </c:pt>
                <c:pt idx="2">
                  <c:v>219.1831488</c:v>
                </c:pt>
                <c:pt idx="3">
                  <c:v>99.678919371428577</c:v>
                </c:pt>
                <c:pt idx="4">
                  <c:v>109.21236479999999</c:v>
                </c:pt>
                <c:pt idx="5">
                  <c:v>102.49324469999999</c:v>
                </c:pt>
                <c:pt idx="6">
                  <c:v>89.694920699999997</c:v>
                </c:pt>
                <c:pt idx="7">
                  <c:v>109.21236479999999</c:v>
                </c:pt>
                <c:pt idx="8">
                  <c:v>86.021801711999984</c:v>
                </c:pt>
                <c:pt idx="9">
                  <c:v>91.768723199999982</c:v>
                </c:pt>
                <c:pt idx="10">
                  <c:v>89.694920699999997</c:v>
                </c:pt>
                <c:pt idx="11">
                  <c:v>75.841920000000002</c:v>
                </c:pt>
                <c:pt idx="12">
                  <c:v>97.414732799999982</c:v>
                </c:pt>
                <c:pt idx="13">
                  <c:v>102.49324469999999</c:v>
                </c:pt>
                <c:pt idx="14">
                  <c:v>75.841920000000002</c:v>
                </c:pt>
                <c:pt idx="15">
                  <c:v>109.21236479999999</c:v>
                </c:pt>
                <c:pt idx="16">
                  <c:v>282.08550857142859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4D-4FAA-A8EB-88BD38A7A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4352032"/>
        <c:axId val="424350064"/>
      </c:lineChart>
      <c:catAx>
        <c:axId val="4243520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50064"/>
        <c:crosses val="autoZero"/>
        <c:auto val="1"/>
        <c:lblAlgn val="ctr"/>
        <c:lblOffset val="100"/>
        <c:noMultiLvlLbl val="0"/>
      </c:catAx>
      <c:valAx>
        <c:axId val="42435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52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Total Resistance (N) over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'.ignore'!$M$2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rgbClr val="247A7A"/>
              </a:solidFill>
              <a:round/>
            </a:ln>
            <a:effectLst/>
          </c:spPr>
          <c:marker>
            <c:symbol val="none"/>
          </c:marker>
          <c:cat>
            <c:numRef>
              <c:f>'.ignore'!$F$3:$F$19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'.ignore'!$M$3:$M$19</c:f>
              <c:numCache>
                <c:formatCode>General</c:formatCode>
                <c:ptCount val="17"/>
                <c:pt idx="0">
                  <c:v>214.839</c:v>
                </c:pt>
                <c:pt idx="1">
                  <c:v>-1332.2808992233158</c:v>
                </c:pt>
                <c:pt idx="2">
                  <c:v>-1308.99046470903</c:v>
                </c:pt>
                <c:pt idx="3">
                  <c:v>2057.5305328804584</c:v>
                </c:pt>
                <c:pt idx="4">
                  <c:v>2067.0639783090301</c:v>
                </c:pt>
                <c:pt idx="5">
                  <c:v>2060.34485820903</c:v>
                </c:pt>
                <c:pt idx="6">
                  <c:v>2047.5465342090299</c:v>
                </c:pt>
                <c:pt idx="7">
                  <c:v>2067.0639783090301</c:v>
                </c:pt>
                <c:pt idx="8">
                  <c:v>2043.87341522103</c:v>
                </c:pt>
                <c:pt idx="9">
                  <c:v>2049.6203367090302</c:v>
                </c:pt>
                <c:pt idx="10">
                  <c:v>2047.5465342090299</c:v>
                </c:pt>
                <c:pt idx="11">
                  <c:v>2033.69353350903</c:v>
                </c:pt>
                <c:pt idx="12">
                  <c:v>2055.2663463090298</c:v>
                </c:pt>
                <c:pt idx="13">
                  <c:v>2060.34485820903</c:v>
                </c:pt>
                <c:pt idx="14">
                  <c:v>2033.69353350903</c:v>
                </c:pt>
                <c:pt idx="15">
                  <c:v>-1418.9612487090299</c:v>
                </c:pt>
                <c:pt idx="16">
                  <c:v>-1246.0881049376014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92-491C-96FE-550D086EC6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674176"/>
        <c:axId val="625676472"/>
      </c:lineChart>
      <c:catAx>
        <c:axId val="625674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676472"/>
        <c:crosses val="autoZero"/>
        <c:auto val="1"/>
        <c:lblAlgn val="ctr"/>
        <c:lblOffset val="100"/>
        <c:noMultiLvlLbl val="0"/>
      </c:catAx>
      <c:valAx>
        <c:axId val="625676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674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Avg power (w) per  second in a sector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'.ignore'!$R$2</c:f>
              <c:strCache>
                <c:ptCount val="1"/>
                <c:pt idx="0">
                  <c:v>Avg power per second in a sector</c:v>
                </c:pt>
              </c:strCache>
            </c:strRef>
          </c:tx>
          <c:spPr>
            <a:ln w="28575" cap="rnd">
              <a:solidFill>
                <a:srgbClr val="A88160"/>
              </a:solidFill>
              <a:round/>
            </a:ln>
            <a:effectLst/>
          </c:spPr>
          <c:marker>
            <c:symbol val="none"/>
          </c:marker>
          <c:cat>
            <c:strRef>
              <c:f>'.ignore'!$B$3:$B$19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'.ignore'!$R$3:$R$19</c:f>
              <c:numCache>
                <c:formatCode>General</c:formatCode>
                <c:ptCount val="17"/>
                <c:pt idx="0">
                  <c:v>0</c:v>
                </c:pt>
                <c:pt idx="1">
                  <c:v>-4078.4109159897421</c:v>
                </c:pt>
                <c:pt idx="2">
                  <c:v>-9890.1501778015609</c:v>
                </c:pt>
                <c:pt idx="3">
                  <c:v>8985.9496742126157</c:v>
                </c:pt>
                <c:pt idx="4">
                  <c:v>6614.604730588896</c:v>
                </c:pt>
                <c:pt idx="5">
                  <c:v>15967.672651119983</c:v>
                </c:pt>
                <c:pt idx="6">
                  <c:v>14844.712373015467</c:v>
                </c:pt>
                <c:pt idx="7">
                  <c:v>16536.511826472241</c:v>
                </c:pt>
                <c:pt idx="8">
                  <c:v>11609.20099845545</c:v>
                </c:pt>
                <c:pt idx="9">
                  <c:v>10020.36609057748</c:v>
                </c:pt>
                <c:pt idx="10">
                  <c:v>7422.3561865077336</c:v>
                </c:pt>
                <c:pt idx="11">
                  <c:v>9038.6379267068005</c:v>
                </c:pt>
                <c:pt idx="12">
                  <c:v>6901.635138222915</c:v>
                </c:pt>
                <c:pt idx="13">
                  <c:v>15967.672651119983</c:v>
                </c:pt>
                <c:pt idx="14">
                  <c:v>18077.275853413601</c:v>
                </c:pt>
                <c:pt idx="15">
                  <c:v>-4540.6759958688954</c:v>
                </c:pt>
                <c:pt idx="16">
                  <c:v>-4577.4665079340466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BE-46DC-A70A-4E0CC1D28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779104"/>
        <c:axId val="625779432"/>
      </c:lineChart>
      <c:catAx>
        <c:axId val="625779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Sectors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779432"/>
        <c:crosses val="autoZero"/>
        <c:auto val="1"/>
        <c:lblAlgn val="ctr"/>
        <c:lblOffset val="100"/>
        <c:noMultiLvlLbl val="0"/>
      </c:catAx>
      <c:valAx>
        <c:axId val="625779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779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115893</xdr:colOff>
      <xdr:row>71</xdr:row>
      <xdr:rowOff>1</xdr:rowOff>
    </xdr:from>
    <xdr:to>
      <xdr:col>22</xdr:col>
      <xdr:colOff>137905</xdr:colOff>
      <xdr:row>84</xdr:row>
      <xdr:rowOff>81643</xdr:rowOff>
    </xdr:to>
    <xdr:grpSp>
      <xdr:nvGrpSpPr>
        <xdr:cNvPr id="1144" name="Group 120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GrpSpPr>
          <a:grpSpLocks noChangeAspect="1"/>
        </xdr:cNvGrpSpPr>
      </xdr:nvGrpSpPr>
      <xdr:grpSpPr bwMode="auto">
        <a:xfrm>
          <a:off x="6726243" y="13525501"/>
          <a:ext cx="14804812" cy="2558142"/>
          <a:chOff x="106844125" y="114900367"/>
          <a:chExt cx="6662452" cy="3207435"/>
        </a:xfrm>
      </xdr:grpSpPr>
      <xdr:grpSp>
        <xdr:nvGrpSpPr>
          <xdr:cNvPr id="1145" name="Group 121">
            <a:extLst>
              <a:ext uri="{FF2B5EF4-FFF2-40B4-BE49-F238E27FC236}">
                <a16:creationId xmlns:a16="http://schemas.microsoft.com/office/drawing/2014/main" id="{00000000-0008-0000-0000-000079040000}"/>
              </a:ext>
            </a:extLst>
          </xdr:cNvPr>
          <xdr:cNvGrpSpPr>
            <a:grpSpLocks/>
          </xdr:cNvGrpSpPr>
        </xdr:nvGrpSpPr>
        <xdr:grpSpPr bwMode="auto">
          <a:xfrm>
            <a:off x="106844125" y="114900367"/>
            <a:ext cx="6662452" cy="3207435"/>
            <a:chOff x="106844123" y="114890842"/>
            <a:chExt cx="6662452" cy="3207435"/>
          </a:xfrm>
        </xdr:grpSpPr>
        <xdr:sp macro="" textlink="">
          <xdr:nvSpPr>
            <xdr:cNvPr id="1146" name="Rectangle 122">
              <a:extLs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6844123" y="114890842"/>
              <a:ext cx="6662452" cy="3207435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grpSp>
          <xdr:nvGrpSpPr>
            <xdr:cNvPr id="1147" name="Group 123">
              <a:extLs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7997674" y="115513338"/>
              <a:ext cx="4079631" cy="1839351"/>
              <a:chOff x="107997674" y="115513338"/>
              <a:chExt cx="4079631" cy="1839351"/>
            </a:xfrm>
          </xdr:grpSpPr>
          <xdr:cxnSp macro="">
            <xdr:nvCxnSpPr>
              <xdr:cNvPr id="1148" name="AutoShape 124">
                <a:extLst>
                  <a:ext uri="{FF2B5EF4-FFF2-40B4-BE49-F238E27FC236}">
                    <a16:creationId xmlns:a16="http://schemas.microsoft.com/office/drawing/2014/main" id="{00000000-0008-0000-0000-00007C04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7997674" y="115523889"/>
                <a:ext cx="0" cy="1828800"/>
              </a:xfrm>
              <a:prstGeom prst="straightConnector1">
                <a:avLst/>
              </a:prstGeom>
              <a:noFill/>
              <a:ln w="25400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49" name="AutoShape 125">
                <a:extLst>
                  <a:ext uri="{FF2B5EF4-FFF2-40B4-BE49-F238E27FC236}">
                    <a16:creationId xmlns:a16="http://schemas.microsoft.com/office/drawing/2014/main" id="{00000000-0008-0000-0000-00007D04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7999432" y="115513338"/>
                <a:ext cx="4065564" cy="1814733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50" name="AutoShape 126">
                <a:extLst>
                  <a:ext uri="{FF2B5EF4-FFF2-40B4-BE49-F238E27FC236}">
                    <a16:creationId xmlns:a16="http://schemas.microsoft.com/office/drawing/2014/main" id="{00000000-0008-0000-0000-00007E04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8011741" y="117342139"/>
                <a:ext cx="4065564" cy="2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51" name="AutoShape 127">
                <a:extLst>
                  <a:ext uri="{FF2B5EF4-FFF2-40B4-BE49-F238E27FC236}">
                    <a16:creationId xmlns:a16="http://schemas.microsoft.com/office/drawing/2014/main" id="{00000000-0008-0000-0000-00007F04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8005493" y="117039362"/>
                <a:ext cx="318135" cy="1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52" name="AutoShape 128">
                <a:extLst>
                  <a:ext uri="{FF2B5EF4-FFF2-40B4-BE49-F238E27FC236}">
                    <a16:creationId xmlns:a16="http://schemas.microsoft.com/office/drawing/2014/main" id="{00000000-0008-0000-0000-00008004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8323628" y="117023124"/>
                <a:ext cx="4541" cy="304947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</xdr:grpSp>
        <xdr:sp macro="" textlink="">
          <xdr:nvSpPr>
            <xdr:cNvPr id="1153" name="Text Box 129">
              <a:extLs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7537250" y="116347875"/>
              <a:ext cx="42862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30m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4" name="Text Box 130">
              <a:extLs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9813725" y="116090700"/>
              <a:ext cx="42862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471m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5" name="Text Box 131">
              <a:extLs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9327950" y="117352689"/>
              <a:ext cx="781050" cy="26670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470.0436m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6" name="Arc 132">
              <a:extLs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>
              <a:spLocks/>
            </xdr:cNvSpPr>
          </xdr:nvSpPr>
          <xdr:spPr bwMode="auto">
            <a:xfrm flipH="1">
              <a:off x="111103813" y="116984983"/>
              <a:ext cx="291062" cy="367706"/>
            </a:xfrm>
            <a:custGeom>
              <a:avLst/>
              <a:gdLst>
                <a:gd name="G0" fmla="+- 0 0 0"/>
                <a:gd name="G1" fmla="+- 20237 0 0"/>
                <a:gd name="G2" fmla="+- 21600 0 0"/>
                <a:gd name="T0" fmla="*/ 7551 w 21575"/>
                <a:gd name="T1" fmla="*/ 0 h 20237"/>
                <a:gd name="T2" fmla="*/ 21575 w 21575"/>
                <a:gd name="T3" fmla="*/ 19203 h 20237"/>
                <a:gd name="T4" fmla="*/ 0 w 21575"/>
                <a:gd name="T5" fmla="*/ 20237 h 202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21575" h="20237" fill="none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</a:path>
                <a:path w="21575" h="20237" stroke="0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  <a:lnTo>
                    <a:pt x="0" y="20237"/>
                  </a:lnTo>
                  <a:close/>
                </a:path>
              </a:pathLst>
            </a:custGeom>
            <a:noFill/>
            <a:ln w="25400">
              <a:solidFill>
                <a:srgbClr val="0000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57" name="Arc 133">
              <a:extLs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>
              <a:spLocks/>
            </xdr:cNvSpPr>
          </xdr:nvSpPr>
          <xdr:spPr bwMode="auto">
            <a:xfrm flipV="1">
              <a:off x="107813475" y="115623975"/>
              <a:ext cx="480463" cy="285750"/>
            </a:xfrm>
            <a:custGeom>
              <a:avLst/>
              <a:gdLst>
                <a:gd name="G0" fmla="+- 0 0 0"/>
                <a:gd name="G1" fmla="+- 20237 0 0"/>
                <a:gd name="G2" fmla="+- 21600 0 0"/>
                <a:gd name="T0" fmla="*/ 7551 w 21575"/>
                <a:gd name="T1" fmla="*/ 0 h 20237"/>
                <a:gd name="T2" fmla="*/ 21575 w 21575"/>
                <a:gd name="T3" fmla="*/ 19203 h 20237"/>
                <a:gd name="T4" fmla="*/ 0 w 21575"/>
                <a:gd name="T5" fmla="*/ 20237 h 202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21575" h="20237" fill="none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</a:path>
                <a:path w="21575" h="20237" stroke="0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  <a:lnTo>
                    <a:pt x="0" y="20237"/>
                  </a:lnTo>
                  <a:close/>
                </a:path>
              </a:pathLst>
            </a:custGeom>
            <a:noFill/>
            <a:ln w="25400" algn="ctr">
              <a:solidFill>
                <a:srgbClr val="0000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58" name="Text Box 134">
              <a:extLs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0764425" y="116999850"/>
              <a:ext cx="42862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3.65°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9" name="Text Box 135">
              <a:extLs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8130350" y="115793475"/>
              <a:ext cx="56197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86.348°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</xdr:grpSp>
      <xdr:sp macro="" textlink="">
        <xdr:nvSpPr>
          <xdr:cNvPr id="1160" name="Text Box 136">
            <a:extLst>
              <a:ext uri="{FF2B5EF4-FFF2-40B4-BE49-F238E27FC236}">
                <a16:creationId xmlns:a16="http://schemas.microsoft.com/office/drawing/2014/main" id="{00000000-0008-0000-0000-00008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366300" y="116750842"/>
            <a:ext cx="1209675" cy="2980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Gradient of the hill</a:t>
            </a:r>
          </a:p>
          <a:p>
            <a:pPr algn="l" rtl="0">
              <a:defRPr sz="1000"/>
            </a:pPr>
            <a:endParaRPr lang="en-GB" sz="1000" b="0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</xdr:txBody>
      </xdr:sp>
    </xdr:grpSp>
    <xdr:clientData/>
  </xdr:twoCellAnchor>
  <xdr:twoCellAnchor>
    <xdr:from>
      <xdr:col>12</xdr:col>
      <xdr:colOff>666752</xdr:colOff>
      <xdr:row>18</xdr:row>
      <xdr:rowOff>168047</xdr:rowOff>
    </xdr:from>
    <xdr:to>
      <xdr:col>15</xdr:col>
      <xdr:colOff>1211038</xdr:colOff>
      <xdr:row>70</xdr:row>
      <xdr:rowOff>44222</xdr:rowOff>
    </xdr:to>
    <xdr:grpSp>
      <xdr:nvGrpSpPr>
        <xdr:cNvPr id="1277" name="Group 25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 noChangeAspect="1"/>
        </xdr:cNvGrpSpPr>
      </xdr:nvGrpSpPr>
      <xdr:grpSpPr bwMode="auto">
        <a:xfrm>
          <a:off x="11001377" y="3597047"/>
          <a:ext cx="6259286" cy="9782175"/>
          <a:chOff x="100218238" y="106281415"/>
          <a:chExt cx="6464053" cy="9847385"/>
        </a:xfrm>
      </xdr:grpSpPr>
      <xdr:grpSp>
        <xdr:nvGrpSpPr>
          <xdr:cNvPr id="1278" name="Group 254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GrpSpPr>
            <a:grpSpLocks/>
          </xdr:cNvGrpSpPr>
        </xdr:nvGrpSpPr>
        <xdr:grpSpPr bwMode="auto">
          <a:xfrm>
            <a:off x="100218238" y="106281415"/>
            <a:ext cx="6464053" cy="9847385"/>
            <a:chOff x="100218238" y="106281415"/>
            <a:chExt cx="6464053" cy="9847385"/>
          </a:xfrm>
        </xdr:grpSpPr>
        <xdr:sp macro="" textlink="">
          <xdr:nvSpPr>
            <xdr:cNvPr id="1279" name="Rectangle 255">
              <a:extLs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>
              <a:spLocks noChangeAspect="1" noChangeArrowheads="1"/>
            </xdr:cNvSpPr>
          </xdr:nvSpPr>
          <xdr:spPr bwMode="auto">
            <a:xfrm>
              <a:off x="100218238" y="106281415"/>
              <a:ext cx="5922498" cy="9847385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grpSp>
          <xdr:nvGrpSpPr>
            <xdr:cNvPr id="1280" name="Group 256">
              <a:extLs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1540548" y="107494413"/>
              <a:ext cx="3418449" cy="7066157"/>
              <a:chOff x="101540548" y="107494413"/>
              <a:chExt cx="3418449" cy="7066157"/>
            </a:xfrm>
          </xdr:grpSpPr>
          <xdr:sp macro="" textlink="">
            <xdr:nvSpPr>
              <xdr:cNvPr id="1281" name="Freeform 257">
                <a:extLst>
                  <a:ext uri="{FF2B5EF4-FFF2-40B4-BE49-F238E27FC236}">
                    <a16:creationId xmlns:a16="http://schemas.microsoft.com/office/drawing/2014/main" id="{00000000-0008-0000-0000-00000105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02007052" y="107501886"/>
                <a:ext cx="2363372" cy="7058684"/>
              </a:xfrm>
              <a:custGeom>
                <a:avLst/>
                <a:gdLst>
                  <a:gd name="T0" fmla="*/ 2260209 w 2363372"/>
                  <a:gd name="T1" fmla="*/ 3426802 h 7058684"/>
                  <a:gd name="T2" fmla="*/ 2260209 w 2363372"/>
                  <a:gd name="T3" fmla="*/ 5944919 h 7058684"/>
                  <a:gd name="T4" fmla="*/ 1641230 w 2363372"/>
                  <a:gd name="T5" fmla="*/ 6887454 h 7058684"/>
                  <a:gd name="T6" fmla="*/ 928907 w 2363372"/>
                  <a:gd name="T7" fmla="*/ 6972300 h 7058684"/>
                  <a:gd name="T8" fmla="*/ 481232 w 2363372"/>
                  <a:gd name="T9" fmla="*/ 6572250 h 7058684"/>
                  <a:gd name="T10" fmla="*/ 424082 w 2363372"/>
                  <a:gd name="T11" fmla="*/ 6296025 h 7058684"/>
                  <a:gd name="T12" fmla="*/ 481232 w 2363372"/>
                  <a:gd name="T13" fmla="*/ 5981700 h 7058684"/>
                  <a:gd name="T14" fmla="*/ 652682 w 2363372"/>
                  <a:gd name="T15" fmla="*/ 5657850 h 7058684"/>
                  <a:gd name="T16" fmla="*/ 871757 w 2363372"/>
                  <a:gd name="T17" fmla="*/ 5276850 h 7058684"/>
                  <a:gd name="T18" fmla="*/ 862232 w 2363372"/>
                  <a:gd name="T19" fmla="*/ 4933950 h 7058684"/>
                  <a:gd name="T20" fmla="*/ 586154 w 2363372"/>
                  <a:gd name="T21" fmla="*/ 4692894 h 7058684"/>
                  <a:gd name="T22" fmla="*/ 276664 w 2363372"/>
                  <a:gd name="T23" fmla="*/ 4495947 h 7058684"/>
                  <a:gd name="T24" fmla="*/ 37514 w 2363372"/>
                  <a:gd name="T25" fmla="*/ 4228660 h 7058684"/>
                  <a:gd name="T26" fmla="*/ 51581 w 2363372"/>
                  <a:gd name="T27" fmla="*/ 3862900 h 7058684"/>
                  <a:gd name="T28" fmla="*/ 220394 w 2363372"/>
                  <a:gd name="T29" fmla="*/ 3525276 h 7058684"/>
                  <a:gd name="T30" fmla="*/ 586154 w 2363372"/>
                  <a:gd name="T31" fmla="*/ 3131380 h 7058684"/>
                  <a:gd name="T32" fmla="*/ 509807 w 2363372"/>
                  <a:gd name="T33" fmla="*/ 2847975 h 7058684"/>
                  <a:gd name="T34" fmla="*/ 121920 w 2363372"/>
                  <a:gd name="T35" fmla="*/ 2596808 h 7058684"/>
                  <a:gd name="T36" fmla="*/ 37514 w 2363372"/>
                  <a:gd name="T37" fmla="*/ 2371725 h 7058684"/>
                  <a:gd name="T38" fmla="*/ 37514 w 2363372"/>
                  <a:gd name="T39" fmla="*/ 2174777 h 7058684"/>
                  <a:gd name="T40" fmla="*/ 138332 w 2363372"/>
                  <a:gd name="T41" fmla="*/ 1876425 h 7058684"/>
                  <a:gd name="T42" fmla="*/ 332935 w 2363372"/>
                  <a:gd name="T43" fmla="*/ 1682408 h 7058684"/>
                  <a:gd name="T44" fmla="*/ 643157 w 2363372"/>
                  <a:gd name="T45" fmla="*/ 1562100 h 7058684"/>
                  <a:gd name="T46" fmla="*/ 757457 w 2363372"/>
                  <a:gd name="T47" fmla="*/ 1343025 h 7058684"/>
                  <a:gd name="T48" fmla="*/ 681257 w 2363372"/>
                  <a:gd name="T49" fmla="*/ 1114425 h 7058684"/>
                  <a:gd name="T50" fmla="*/ 443132 w 2363372"/>
                  <a:gd name="T51" fmla="*/ 933450 h 7058684"/>
                  <a:gd name="T52" fmla="*/ 624107 w 2363372"/>
                  <a:gd name="T53" fmla="*/ 371475 h 7058684"/>
                  <a:gd name="T54" fmla="*/ 1233707 w 2363372"/>
                  <a:gd name="T55" fmla="*/ 9525 h 7058684"/>
                  <a:gd name="T56" fmla="*/ 2052857 w 2363372"/>
                  <a:gd name="T57" fmla="*/ 428625 h 7058684"/>
                  <a:gd name="T58" fmla="*/ 2186207 w 2363372"/>
                  <a:gd name="T59" fmla="*/ 2095500 h 7058684"/>
                  <a:gd name="T60" fmla="*/ 2260209 w 2363372"/>
                  <a:gd name="T61" fmla="*/ 3426802 h 7058684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</a:cxnLst>
                <a:rect l="0" t="0" r="r" b="b"/>
                <a:pathLst>
                  <a:path w="2363372" h="7058684">
                    <a:moveTo>
                      <a:pt x="2260209" y="3426802"/>
                    </a:moveTo>
                    <a:cubicBezTo>
                      <a:pt x="2269587" y="4071571"/>
                      <a:pt x="2363372" y="5368144"/>
                      <a:pt x="2260209" y="5944919"/>
                    </a:cubicBezTo>
                    <a:cubicBezTo>
                      <a:pt x="2157046" y="6521694"/>
                      <a:pt x="1863114" y="6716224"/>
                      <a:pt x="1641230" y="6887454"/>
                    </a:cubicBezTo>
                    <a:cubicBezTo>
                      <a:pt x="1419346" y="7058684"/>
                      <a:pt x="1122240" y="7024834"/>
                      <a:pt x="928907" y="6972300"/>
                    </a:cubicBezTo>
                    <a:cubicBezTo>
                      <a:pt x="735574" y="6919766"/>
                      <a:pt x="565369" y="6684962"/>
                      <a:pt x="481232" y="6572250"/>
                    </a:cubicBezTo>
                    <a:cubicBezTo>
                      <a:pt x="397095" y="6459538"/>
                      <a:pt x="424082" y="6394450"/>
                      <a:pt x="424082" y="6296025"/>
                    </a:cubicBezTo>
                    <a:cubicBezTo>
                      <a:pt x="424082" y="6197600"/>
                      <a:pt x="443132" y="6088062"/>
                      <a:pt x="481232" y="5981700"/>
                    </a:cubicBezTo>
                    <a:cubicBezTo>
                      <a:pt x="519332" y="5875338"/>
                      <a:pt x="587594" y="5775325"/>
                      <a:pt x="652682" y="5657850"/>
                    </a:cubicBezTo>
                    <a:cubicBezTo>
                      <a:pt x="717770" y="5540375"/>
                      <a:pt x="836832" y="5397500"/>
                      <a:pt x="871757" y="5276850"/>
                    </a:cubicBezTo>
                    <a:cubicBezTo>
                      <a:pt x="906682" y="5156200"/>
                      <a:pt x="909832" y="5031276"/>
                      <a:pt x="862232" y="4933950"/>
                    </a:cubicBezTo>
                    <a:cubicBezTo>
                      <a:pt x="814632" y="4836624"/>
                      <a:pt x="683749" y="4765894"/>
                      <a:pt x="586154" y="4692894"/>
                    </a:cubicBezTo>
                    <a:cubicBezTo>
                      <a:pt x="488559" y="4619894"/>
                      <a:pt x="368104" y="4573319"/>
                      <a:pt x="276664" y="4495947"/>
                    </a:cubicBezTo>
                    <a:cubicBezTo>
                      <a:pt x="185224" y="4418575"/>
                      <a:pt x="75028" y="4334168"/>
                      <a:pt x="37514" y="4228660"/>
                    </a:cubicBezTo>
                    <a:cubicBezTo>
                      <a:pt x="0" y="4123152"/>
                      <a:pt x="21101" y="3980131"/>
                      <a:pt x="51581" y="3862900"/>
                    </a:cubicBezTo>
                    <a:cubicBezTo>
                      <a:pt x="82061" y="3745669"/>
                      <a:pt x="131298" y="3647196"/>
                      <a:pt x="220394" y="3525276"/>
                    </a:cubicBezTo>
                    <a:cubicBezTo>
                      <a:pt x="309490" y="3403356"/>
                      <a:pt x="537918" y="3244264"/>
                      <a:pt x="586154" y="3131380"/>
                    </a:cubicBezTo>
                    <a:cubicBezTo>
                      <a:pt x="634390" y="3018496"/>
                      <a:pt x="587179" y="2937070"/>
                      <a:pt x="509807" y="2847975"/>
                    </a:cubicBezTo>
                    <a:cubicBezTo>
                      <a:pt x="432435" y="2758880"/>
                      <a:pt x="200635" y="2676183"/>
                      <a:pt x="121920" y="2596808"/>
                    </a:cubicBezTo>
                    <a:cubicBezTo>
                      <a:pt x="43205" y="2517433"/>
                      <a:pt x="51582" y="2442063"/>
                      <a:pt x="37514" y="2371725"/>
                    </a:cubicBezTo>
                    <a:cubicBezTo>
                      <a:pt x="23446" y="2301387"/>
                      <a:pt x="20711" y="2257327"/>
                      <a:pt x="37514" y="2174777"/>
                    </a:cubicBezTo>
                    <a:cubicBezTo>
                      <a:pt x="54317" y="2092227"/>
                      <a:pt x="89095" y="1958486"/>
                      <a:pt x="138332" y="1876425"/>
                    </a:cubicBezTo>
                    <a:cubicBezTo>
                      <a:pt x="187569" y="1794364"/>
                      <a:pt x="248798" y="1734795"/>
                      <a:pt x="332935" y="1682408"/>
                    </a:cubicBezTo>
                    <a:cubicBezTo>
                      <a:pt x="417072" y="1630021"/>
                      <a:pt x="572403" y="1618664"/>
                      <a:pt x="643157" y="1562100"/>
                    </a:cubicBezTo>
                    <a:cubicBezTo>
                      <a:pt x="713911" y="1505536"/>
                      <a:pt x="751107" y="1417637"/>
                      <a:pt x="757457" y="1343025"/>
                    </a:cubicBezTo>
                    <a:cubicBezTo>
                      <a:pt x="763807" y="1268413"/>
                      <a:pt x="733644" y="1182687"/>
                      <a:pt x="681257" y="1114425"/>
                    </a:cubicBezTo>
                    <a:cubicBezTo>
                      <a:pt x="628870" y="1046163"/>
                      <a:pt x="452657" y="1057275"/>
                      <a:pt x="443132" y="933450"/>
                    </a:cubicBezTo>
                    <a:cubicBezTo>
                      <a:pt x="433607" y="809625"/>
                      <a:pt x="492345" y="525462"/>
                      <a:pt x="624107" y="371475"/>
                    </a:cubicBezTo>
                    <a:cubicBezTo>
                      <a:pt x="755869" y="217488"/>
                      <a:pt x="995582" y="0"/>
                      <a:pt x="1233707" y="9525"/>
                    </a:cubicBezTo>
                    <a:cubicBezTo>
                      <a:pt x="1471832" y="19050"/>
                      <a:pt x="1894107" y="80963"/>
                      <a:pt x="2052857" y="428625"/>
                    </a:cubicBezTo>
                    <a:cubicBezTo>
                      <a:pt x="2211607" y="776287"/>
                      <a:pt x="2151648" y="1595804"/>
                      <a:pt x="2186207" y="2095500"/>
                    </a:cubicBezTo>
                    <a:cubicBezTo>
                      <a:pt x="2220766" y="2595196"/>
                      <a:pt x="2244792" y="3149448"/>
                      <a:pt x="2260209" y="3426802"/>
                    </a:cubicBezTo>
                    <a:close/>
                  </a:path>
                </a:pathLst>
              </a:custGeom>
              <a:noFill/>
              <a:ln w="50800" cap="flat" cmpd="sng" algn="ctr">
                <a:solidFill>
                  <a:srgbClr val="000000"/>
                </a:solidFill>
                <a:prstDash val="solid"/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sp>
          <xdr:cxnSp macro="">
            <xdr:nvCxnSpPr>
              <xdr:cNvPr id="1282" name="AutoShape 258">
                <a:extLst>
                  <a:ext uri="{FF2B5EF4-FFF2-40B4-BE49-F238E27FC236}">
                    <a16:creationId xmlns:a16="http://schemas.microsoft.com/office/drawing/2014/main" id="{00000000-0008-0000-0000-000002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749441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3" name="AutoShape 259">
                <a:extLst>
                  <a:ext uri="{FF2B5EF4-FFF2-40B4-BE49-F238E27FC236}">
                    <a16:creationId xmlns:a16="http://schemas.microsoft.com/office/drawing/2014/main" id="{00000000-0008-0000-0000-000003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772893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4" name="AutoShape 260">
                <a:extLst>
                  <a:ext uri="{FF2B5EF4-FFF2-40B4-BE49-F238E27FC236}">
                    <a16:creationId xmlns:a16="http://schemas.microsoft.com/office/drawing/2014/main" id="{00000000-0008-0000-0000-000004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796345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5" name="AutoShape 261">
                <a:extLst>
                  <a:ext uri="{FF2B5EF4-FFF2-40B4-BE49-F238E27FC236}">
                    <a16:creationId xmlns:a16="http://schemas.microsoft.com/office/drawing/2014/main" id="{00000000-0008-0000-0000-000005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19797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6" name="AutoShape 262">
                <a:extLst>
                  <a:ext uri="{FF2B5EF4-FFF2-40B4-BE49-F238E27FC236}">
                    <a16:creationId xmlns:a16="http://schemas.microsoft.com/office/drawing/2014/main" id="{00000000-0008-0000-0000-000006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43249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7" name="AutoShape 263">
                <a:extLst>
                  <a:ext uri="{FF2B5EF4-FFF2-40B4-BE49-F238E27FC236}">
                    <a16:creationId xmlns:a16="http://schemas.microsoft.com/office/drawing/2014/main" id="{00000000-0008-0000-0000-000007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66701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8" name="AutoShape 264">
                <a:extLst>
                  <a:ext uri="{FF2B5EF4-FFF2-40B4-BE49-F238E27FC236}">
                    <a16:creationId xmlns:a16="http://schemas.microsoft.com/office/drawing/2014/main" id="{00000000-0008-0000-0000-000008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90153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9" name="AutoShape 265">
                <a:extLst>
                  <a:ext uri="{FF2B5EF4-FFF2-40B4-BE49-F238E27FC236}">
                    <a16:creationId xmlns:a16="http://schemas.microsoft.com/office/drawing/2014/main" id="{00000000-0008-0000-0000-000009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13605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0" name="AutoShape 266">
                <a:extLs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37057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1" name="AutoShape 267">
                <a:extLst>
                  <a:ext uri="{FF2B5EF4-FFF2-40B4-BE49-F238E27FC236}">
                    <a16:creationId xmlns:a16="http://schemas.microsoft.com/office/drawing/2014/main" id="{00000000-0008-0000-0000-00000B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60509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2" name="AutoShape 268">
                <a:extLst>
                  <a:ext uri="{FF2B5EF4-FFF2-40B4-BE49-F238E27FC236}">
                    <a16:creationId xmlns:a16="http://schemas.microsoft.com/office/drawing/2014/main" id="{00000000-0008-0000-0000-00000C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83961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3" name="AutoShape 269">
                <a:extLst>
                  <a:ext uri="{FF2B5EF4-FFF2-40B4-BE49-F238E27FC236}">
                    <a16:creationId xmlns:a16="http://schemas.microsoft.com/office/drawing/2014/main" id="{00000000-0008-0000-0000-00000D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07413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4" name="AutoShape 270">
                <a:extLst>
                  <a:ext uri="{FF2B5EF4-FFF2-40B4-BE49-F238E27FC236}">
                    <a16:creationId xmlns:a16="http://schemas.microsoft.com/office/drawing/2014/main" id="{00000000-0008-0000-0000-00000E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30865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5" name="AutoShape 271">
                <a:extLst>
                  <a:ext uri="{FF2B5EF4-FFF2-40B4-BE49-F238E27FC236}">
                    <a16:creationId xmlns:a16="http://schemas.microsoft.com/office/drawing/2014/main" id="{00000000-0008-0000-0000-00000F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54317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6" name="AutoShape 272">
                <a:extLst>
                  <a:ext uri="{FF2B5EF4-FFF2-40B4-BE49-F238E27FC236}">
                    <a16:creationId xmlns:a16="http://schemas.microsoft.com/office/drawing/2014/main" id="{00000000-0008-0000-0000-000010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01221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7" name="AutoShape 273">
                <a:extLst>
                  <a:ext uri="{FF2B5EF4-FFF2-40B4-BE49-F238E27FC236}">
                    <a16:creationId xmlns:a16="http://schemas.microsoft.com/office/drawing/2014/main" id="{00000000-0008-0000-0000-000011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77769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8" name="AutoShape 274">
                <a:extLst>
                  <a:ext uri="{FF2B5EF4-FFF2-40B4-BE49-F238E27FC236}">
                    <a16:creationId xmlns:a16="http://schemas.microsoft.com/office/drawing/2014/main" id="{00000000-0008-0000-0000-000012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24673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9" name="AutoShape 275">
                <a:extLst>
                  <a:ext uri="{FF2B5EF4-FFF2-40B4-BE49-F238E27FC236}">
                    <a16:creationId xmlns:a16="http://schemas.microsoft.com/office/drawing/2014/main" id="{00000000-0008-0000-0000-000013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48125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0" name="AutoShape 276">
                <a:extLst>
                  <a:ext uri="{FF2B5EF4-FFF2-40B4-BE49-F238E27FC236}">
                    <a16:creationId xmlns:a16="http://schemas.microsoft.com/office/drawing/2014/main" id="{00000000-0008-0000-0000-000014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71577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1" name="AutoShape 277">
                <a:extLst>
                  <a:ext uri="{FF2B5EF4-FFF2-40B4-BE49-F238E27FC236}">
                    <a16:creationId xmlns:a16="http://schemas.microsoft.com/office/drawing/2014/main" id="{00000000-0008-0000-0000-000015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95029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2" name="AutoShape 278">
                <a:extLst>
                  <a:ext uri="{FF2B5EF4-FFF2-40B4-BE49-F238E27FC236}">
                    <a16:creationId xmlns:a16="http://schemas.microsoft.com/office/drawing/2014/main" id="{00000000-0008-0000-0000-000016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18481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3" name="AutoShape 279">
                <a:extLst>
                  <a:ext uri="{FF2B5EF4-FFF2-40B4-BE49-F238E27FC236}">
                    <a16:creationId xmlns:a16="http://schemas.microsoft.com/office/drawing/2014/main" id="{00000000-0008-0000-0000-000017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41933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4" name="AutoShape 280">
                <a:extLst>
                  <a:ext uri="{FF2B5EF4-FFF2-40B4-BE49-F238E27FC236}">
                    <a16:creationId xmlns:a16="http://schemas.microsoft.com/office/drawing/2014/main" id="{00000000-0008-0000-0000-000018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65385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5" name="AutoShape 281">
                <a:extLst>
                  <a:ext uri="{FF2B5EF4-FFF2-40B4-BE49-F238E27FC236}">
                    <a16:creationId xmlns:a16="http://schemas.microsoft.com/office/drawing/2014/main" id="{00000000-0008-0000-0000-000019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88837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6" name="AutoShape 282">
                <a:extLst>
                  <a:ext uri="{FF2B5EF4-FFF2-40B4-BE49-F238E27FC236}">
                    <a16:creationId xmlns:a16="http://schemas.microsoft.com/office/drawing/2014/main" id="{00000000-0008-0000-0000-00001A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12289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7" name="AutoShape 283">
                <a:extLst>
                  <a:ext uri="{FF2B5EF4-FFF2-40B4-BE49-F238E27FC236}">
                    <a16:creationId xmlns:a16="http://schemas.microsoft.com/office/drawing/2014/main" id="{00000000-0008-0000-0000-00001B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59193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8" name="AutoShape 284">
                <a:extLst>
                  <a:ext uri="{FF2B5EF4-FFF2-40B4-BE49-F238E27FC236}">
                    <a16:creationId xmlns:a16="http://schemas.microsoft.com/office/drawing/2014/main" id="{00000000-0008-0000-0000-00001C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82645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9" name="AutoShape 285">
                <a:extLst>
                  <a:ext uri="{FF2B5EF4-FFF2-40B4-BE49-F238E27FC236}">
                    <a16:creationId xmlns:a16="http://schemas.microsoft.com/office/drawing/2014/main" id="{00000000-0008-0000-0000-00001D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406097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0" name="AutoShape 286">
                <a:extLst>
                  <a:ext uri="{FF2B5EF4-FFF2-40B4-BE49-F238E27FC236}">
                    <a16:creationId xmlns:a16="http://schemas.microsoft.com/office/drawing/2014/main" id="{00000000-0008-0000-0000-00001E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429549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1" name="AutoShape 287">
                <a:extLst>
                  <a:ext uri="{FF2B5EF4-FFF2-40B4-BE49-F238E27FC236}">
                    <a16:creationId xmlns:a16="http://schemas.microsoft.com/office/drawing/2014/main" id="{00000000-0008-0000-0000-00001F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4530017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2" name="AutoShape 288">
                <a:extLst>
                  <a:ext uri="{FF2B5EF4-FFF2-40B4-BE49-F238E27FC236}">
                    <a16:creationId xmlns:a16="http://schemas.microsoft.com/office/drawing/2014/main" id="{00000000-0008-0000-0000-000020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4072787" y="110853941"/>
                <a:ext cx="336047" cy="17667"/>
              </a:xfrm>
              <a:prstGeom prst="straightConnector1">
                <a:avLst/>
              </a:prstGeom>
              <a:noFill/>
              <a:ln w="127000" cap="rnd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3" name="AutoShape 289">
                <a:extLst>
                  <a:ext uri="{FF2B5EF4-FFF2-40B4-BE49-F238E27FC236}">
                    <a16:creationId xmlns:a16="http://schemas.microsoft.com/office/drawing/2014/main" id="{00000000-0008-0000-0000-000021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4285561" y="113072574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4" name="AutoShape 290">
                <a:extLst>
                  <a:ext uri="{FF2B5EF4-FFF2-40B4-BE49-F238E27FC236}">
                    <a16:creationId xmlns:a16="http://schemas.microsoft.com/office/drawing/2014/main" id="{00000000-0008-0000-0000-000022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3218176" y="114514451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5" name="AutoShape 291">
                <a:extLs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389941" y="11397644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6" name="AutoShape 292">
                <a:extLs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870000" y="112664548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7" name="AutoShape 293">
                <a:extLs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355561" y="112100346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8" name="AutoShape 294">
                <a:extLst>
                  <a:ext uri="{FF2B5EF4-FFF2-40B4-BE49-F238E27FC236}">
                    <a16:creationId xmlns:a16="http://schemas.microsoft.com/office/drawing/2014/main" id="{00000000-0008-0000-0000-000026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007052" y="111553200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9" name="AutoShape 295">
                <a:extLst>
                  <a:ext uri="{FF2B5EF4-FFF2-40B4-BE49-F238E27FC236}">
                    <a16:creationId xmlns:a16="http://schemas.microsoft.com/office/drawing/2014/main" id="{00000000-0008-0000-0000-000027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270364" y="110965957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0" name="AutoShape 296">
                <a:extLst>
                  <a:ext uri="{FF2B5EF4-FFF2-40B4-BE49-F238E27FC236}">
                    <a16:creationId xmlns:a16="http://schemas.microsoft.com/office/drawing/2014/main" id="{00000000-0008-0000-0000-000028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555055" y="110600198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1" name="AutoShape 297">
                <a:extLst>
                  <a:ext uri="{FF2B5EF4-FFF2-40B4-BE49-F238E27FC236}">
                    <a16:creationId xmlns:a16="http://schemas.microsoft.com/office/drawing/2014/main" id="{00000000-0008-0000-0000-000029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201604" y="110161290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2" name="AutoShape 298">
                <a:extLst>
                  <a:ext uri="{FF2B5EF4-FFF2-40B4-BE49-F238E27FC236}">
                    <a16:creationId xmlns:a16="http://schemas.microsoft.com/office/drawing/2014/main" id="{00000000-0008-0000-0000-00002A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041432" y="109488521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3" name="AutoShape 299">
                <a:extLst>
                  <a:ext uri="{FF2B5EF4-FFF2-40B4-BE49-F238E27FC236}">
                    <a16:creationId xmlns:a16="http://schemas.microsoft.com/office/drawing/2014/main" id="{00000000-0008-0000-0000-00002B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539409" y="109103079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4" name="AutoShape 300">
                <a:extLst>
                  <a:ext uri="{FF2B5EF4-FFF2-40B4-BE49-F238E27FC236}">
                    <a16:creationId xmlns:a16="http://schemas.microsoft.com/office/drawing/2014/main" id="{00000000-0008-0000-0000-00002C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639462" y="10867292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5" name="AutoShape 301">
                <a:extLst>
                  <a:ext uri="{FF2B5EF4-FFF2-40B4-BE49-F238E27FC236}">
                    <a16:creationId xmlns:a16="http://schemas.microsoft.com/office/drawing/2014/main" id="{00000000-0008-0000-0000-00002D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486295" y="10798249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6" name="AutoShape 302">
                <a:extLst>
                  <a:ext uri="{FF2B5EF4-FFF2-40B4-BE49-F238E27FC236}">
                    <a16:creationId xmlns:a16="http://schemas.microsoft.com/office/drawing/2014/main" id="{00000000-0008-0000-0000-00002E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3252556" y="107501886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7" name="AutoShape 303">
                <a:extLst>
                  <a:ext uri="{FF2B5EF4-FFF2-40B4-BE49-F238E27FC236}">
                    <a16:creationId xmlns:a16="http://schemas.microsoft.com/office/drawing/2014/main" id="{00000000-0008-0000-0000-00002F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4056961" y="10798429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8" name="AutoShape 304">
                <a:extLst>
                  <a:ext uri="{FF2B5EF4-FFF2-40B4-BE49-F238E27FC236}">
                    <a16:creationId xmlns:a16="http://schemas.microsoft.com/office/drawing/2014/main" id="{00000000-0008-0000-0000-0000300500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35741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</xdr:grpSp>
        <xdr:grpSp>
          <xdr:nvGrpSpPr>
            <xdr:cNvPr id="1329" name="Group 305">
              <a:extLs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1192669" y="107365926"/>
              <a:ext cx="422031" cy="7269297"/>
              <a:chOff x="101192669" y="107365926"/>
              <a:chExt cx="422031" cy="7269297"/>
            </a:xfrm>
          </xdr:grpSpPr>
          <xdr:sp macro="" textlink="">
            <xdr:nvSpPr>
              <xdr:cNvPr id="1330" name="Text Box 306">
                <a:extLst>
                  <a:ext uri="{FF2B5EF4-FFF2-40B4-BE49-F238E27FC236}">
                    <a16:creationId xmlns:a16="http://schemas.microsoft.com/office/drawing/2014/main" id="{00000000-0008-0000-0000-000032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206737" y="107365926"/>
                <a:ext cx="393895" cy="22508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1" name="Text Box 307">
                <a:extLst>
                  <a:ext uri="{FF2B5EF4-FFF2-40B4-BE49-F238E27FC236}">
                    <a16:creationId xmlns:a16="http://schemas.microsoft.com/office/drawing/2014/main" id="{00000000-0008-0000-0000-000033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7572598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2" name="Text Box 308">
                <a:extLst>
                  <a:ext uri="{FF2B5EF4-FFF2-40B4-BE49-F238E27FC236}">
                    <a16:creationId xmlns:a16="http://schemas.microsoft.com/office/drawing/2014/main" id="{00000000-0008-0000-0000-000034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27701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3" name="Text Box 309">
                <a:extLst>
                  <a:ext uri="{FF2B5EF4-FFF2-40B4-BE49-F238E27FC236}">
                    <a16:creationId xmlns:a16="http://schemas.microsoft.com/office/drawing/2014/main" id="{00000000-0008-0000-0000-000035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51182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4" name="Text Box 310">
                <a:extLst>
                  <a:ext uri="{FF2B5EF4-FFF2-40B4-BE49-F238E27FC236}">
                    <a16:creationId xmlns:a16="http://schemas.microsoft.com/office/drawing/2014/main" id="{00000000-0008-0000-0000-000036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74663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5" name="Text Box 311">
                <a:extLst>
                  <a:ext uri="{FF2B5EF4-FFF2-40B4-BE49-F238E27FC236}">
                    <a16:creationId xmlns:a16="http://schemas.microsoft.com/office/drawing/2014/main" id="{00000000-0008-0000-0000-000037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98144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6" name="Text Box 312">
                <a:extLst>
                  <a:ext uri="{FF2B5EF4-FFF2-40B4-BE49-F238E27FC236}">
                    <a16:creationId xmlns:a16="http://schemas.microsoft.com/office/drawing/2014/main" id="{00000000-0008-0000-0000-000038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216248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7" name="Text Box 313">
                <a:extLst>
                  <a:ext uri="{FF2B5EF4-FFF2-40B4-BE49-F238E27FC236}">
                    <a16:creationId xmlns:a16="http://schemas.microsoft.com/office/drawing/2014/main" id="{00000000-0008-0000-0000-000039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45105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8" name="Text Box 314">
                <a:extLst>
                  <a:ext uri="{FF2B5EF4-FFF2-40B4-BE49-F238E27FC236}">
                    <a16:creationId xmlns:a16="http://schemas.microsoft.com/office/drawing/2014/main" id="{00000000-0008-0000-0000-00003A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68586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9" name="Text Box 315">
                <a:extLst>
                  <a:ext uri="{FF2B5EF4-FFF2-40B4-BE49-F238E27FC236}">
                    <a16:creationId xmlns:a16="http://schemas.microsoft.com/office/drawing/2014/main" id="{00000000-0008-0000-0000-00003B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92066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0" name="Text Box 316">
                <a:extLst>
                  <a:ext uri="{FF2B5EF4-FFF2-40B4-BE49-F238E27FC236}">
                    <a16:creationId xmlns:a16="http://schemas.microsoft.com/office/drawing/2014/main" id="{00000000-0008-0000-0000-00003C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15547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1" name="Text Box 317">
                <a:extLst>
                  <a:ext uri="{FF2B5EF4-FFF2-40B4-BE49-F238E27FC236}">
                    <a16:creationId xmlns:a16="http://schemas.microsoft.com/office/drawing/2014/main" id="{00000000-0008-0000-0000-00003D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39028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2" name="Text Box 318">
                <a:extLst>
                  <a:ext uri="{FF2B5EF4-FFF2-40B4-BE49-F238E27FC236}">
                    <a16:creationId xmlns:a16="http://schemas.microsoft.com/office/drawing/2014/main" id="{00000000-0008-0000-0000-00003E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62509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3" name="Text Box 319">
                <a:extLst>
                  <a:ext uri="{FF2B5EF4-FFF2-40B4-BE49-F238E27FC236}">
                    <a16:creationId xmlns:a16="http://schemas.microsoft.com/office/drawing/2014/main" id="{00000000-0008-0000-0000-00003F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04221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4" name="Text Box 320">
                <a:extLst>
                  <a:ext uri="{FF2B5EF4-FFF2-40B4-BE49-F238E27FC236}">
                    <a16:creationId xmlns:a16="http://schemas.microsoft.com/office/drawing/2014/main" id="{00000000-0008-0000-0000-000040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780740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5" name="Text Box 321">
                <a:extLst>
                  <a:ext uri="{FF2B5EF4-FFF2-40B4-BE49-F238E27FC236}">
                    <a16:creationId xmlns:a16="http://schemas.microsoft.com/office/drawing/2014/main" id="{00000000-0008-0000-0000-000041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859897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6" name="Text Box 322">
                <a:extLst>
                  <a:ext uri="{FF2B5EF4-FFF2-40B4-BE49-F238E27FC236}">
                    <a16:creationId xmlns:a16="http://schemas.microsoft.com/office/drawing/2014/main" id="{00000000-0008-0000-0000-000042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09470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7" name="Text Box 323">
                <a:extLst>
                  <a:ext uri="{FF2B5EF4-FFF2-40B4-BE49-F238E27FC236}">
                    <a16:creationId xmlns:a16="http://schemas.microsoft.com/office/drawing/2014/main" id="{00000000-0008-0000-0000-000043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32951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8" name="Text Box 324">
                <a:extLst>
                  <a:ext uri="{FF2B5EF4-FFF2-40B4-BE49-F238E27FC236}">
                    <a16:creationId xmlns:a16="http://schemas.microsoft.com/office/drawing/2014/main" id="{00000000-0008-0000-0000-000044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56431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9" name="Text Box 325">
                <a:extLst>
                  <a:ext uri="{FF2B5EF4-FFF2-40B4-BE49-F238E27FC236}">
                    <a16:creationId xmlns:a16="http://schemas.microsoft.com/office/drawing/2014/main" id="{00000000-0008-0000-0000-000045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79912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0" name="Text Box 326">
                <a:extLst>
                  <a:ext uri="{FF2B5EF4-FFF2-40B4-BE49-F238E27FC236}">
                    <a16:creationId xmlns:a16="http://schemas.microsoft.com/office/drawing/2014/main" id="{00000000-0008-0000-0000-000046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03393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1" name="Text Box 327">
                <a:extLst>
                  <a:ext uri="{FF2B5EF4-FFF2-40B4-BE49-F238E27FC236}">
                    <a16:creationId xmlns:a16="http://schemas.microsoft.com/office/drawing/2014/main" id="{00000000-0008-0000-0000-000047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26874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2" name="Text Box 328">
                <a:extLst>
                  <a:ext uri="{FF2B5EF4-FFF2-40B4-BE49-F238E27FC236}">
                    <a16:creationId xmlns:a16="http://schemas.microsoft.com/office/drawing/2014/main" id="{00000000-0008-0000-0000-000048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503547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3" name="Text Box 329">
                <a:extLst>
                  <a:ext uri="{FF2B5EF4-FFF2-40B4-BE49-F238E27FC236}">
                    <a16:creationId xmlns:a16="http://schemas.microsoft.com/office/drawing/2014/main" id="{00000000-0008-0000-0000-000049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73835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4" name="Text Box 330">
                <a:extLst>
                  <a:ext uri="{FF2B5EF4-FFF2-40B4-BE49-F238E27FC236}">
                    <a16:creationId xmlns:a16="http://schemas.microsoft.com/office/drawing/2014/main" id="{00000000-0008-0000-0000-00004A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97316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5" name="Text Box 331">
                <a:extLst>
                  <a:ext uri="{FF2B5EF4-FFF2-40B4-BE49-F238E27FC236}">
                    <a16:creationId xmlns:a16="http://schemas.microsoft.com/office/drawing/2014/main" id="{00000000-0008-0000-0000-00004B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20796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6" name="Text Box 332">
                <a:extLst>
                  <a:ext uri="{FF2B5EF4-FFF2-40B4-BE49-F238E27FC236}">
                    <a16:creationId xmlns:a16="http://schemas.microsoft.com/office/drawing/2014/main" id="{00000000-0008-0000-0000-00004C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44277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7" name="Text Box 333">
                <a:extLst>
                  <a:ext uri="{FF2B5EF4-FFF2-40B4-BE49-F238E27FC236}">
                    <a16:creationId xmlns:a16="http://schemas.microsoft.com/office/drawing/2014/main" id="{00000000-0008-0000-0000-00004D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67758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8" name="Text Box 334">
                <a:extLst>
                  <a:ext uri="{FF2B5EF4-FFF2-40B4-BE49-F238E27FC236}">
                    <a16:creationId xmlns:a16="http://schemas.microsoft.com/office/drawing/2014/main" id="{00000000-0008-0000-0000-00004E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91239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9" name="Text Box 335">
                <a:extLst>
                  <a:ext uri="{FF2B5EF4-FFF2-40B4-BE49-F238E27FC236}">
                    <a16:creationId xmlns:a16="http://schemas.microsoft.com/office/drawing/2014/main" id="{00000000-0008-0000-0000-00004F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4147197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0" name="Text Box 336">
                <a:extLst>
                  <a:ext uri="{FF2B5EF4-FFF2-40B4-BE49-F238E27FC236}">
                    <a16:creationId xmlns:a16="http://schemas.microsoft.com/office/drawing/2014/main" id="{00000000-0008-0000-0000-000050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4382004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</xdr:grpSp>
        <xdr:grpSp>
          <xdr:nvGrpSpPr>
            <xdr:cNvPr id="1361" name="Group 337">
              <a:extLs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4923883" y="107365926"/>
              <a:ext cx="1758408" cy="7386182"/>
              <a:chOff x="104923883" y="107365926"/>
              <a:chExt cx="1758408" cy="7386182"/>
            </a:xfrm>
          </xdr:grpSpPr>
          <xdr:sp macro="" textlink="">
            <xdr:nvSpPr>
              <xdr:cNvPr id="1362" name="Text Box 338">
                <a:extLst>
                  <a:ext uri="{FF2B5EF4-FFF2-40B4-BE49-F238E27FC236}">
                    <a16:creationId xmlns:a16="http://schemas.microsoft.com/office/drawing/2014/main" id="{00000000-0008-0000-0000-000052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1564319"/>
                <a:ext cx="1730272" cy="41358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3" name="Text Box 339">
                <a:extLst>
                  <a:ext uri="{FF2B5EF4-FFF2-40B4-BE49-F238E27FC236}">
                    <a16:creationId xmlns:a16="http://schemas.microsoft.com/office/drawing/2014/main" id="{00000000-0008-0000-0000-000053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14400416"/>
                <a:ext cx="323502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0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4" name="Text Box 340">
                <a:extLst>
                  <a:ext uri="{FF2B5EF4-FFF2-40B4-BE49-F238E27FC236}">
                    <a16:creationId xmlns:a16="http://schemas.microsoft.com/office/drawing/2014/main" id="{00000000-0008-0000-0000-000054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1817538"/>
                <a:ext cx="801804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172.7m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5" name="Text Box 341">
                <a:extLst>
                  <a:ext uri="{FF2B5EF4-FFF2-40B4-BE49-F238E27FC236}">
                    <a16:creationId xmlns:a16="http://schemas.microsoft.com/office/drawing/2014/main" id="{00000000-0008-0000-0000-000055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23883" y="111347924"/>
                <a:ext cx="717398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204.1m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6" name="Text Box 342">
                <a:extLst>
                  <a:ext uri="{FF2B5EF4-FFF2-40B4-BE49-F238E27FC236}">
                    <a16:creationId xmlns:a16="http://schemas.microsoft.com/office/drawing/2014/main" id="{00000000-0008-0000-0000-000056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2053575"/>
                <a:ext cx="618923" cy="36576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157m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7" name="Text Box 343">
                <a:extLst>
                  <a:ext uri="{FF2B5EF4-FFF2-40B4-BE49-F238E27FC236}">
                    <a16:creationId xmlns:a16="http://schemas.microsoft.com/office/drawing/2014/main" id="{00000000-0008-0000-0000-000057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2274027"/>
                <a:ext cx="984684" cy="379828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141.3m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8" name="Text Box 344">
                <a:extLst>
                  <a:ext uri="{FF2B5EF4-FFF2-40B4-BE49-F238E27FC236}">
                    <a16:creationId xmlns:a16="http://schemas.microsoft.com/office/drawing/2014/main" id="{00000000-0008-0000-0000-000058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2521959"/>
                <a:ext cx="57672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125.6m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9" name="Text Box 345">
                <a:extLst>
                  <a:ext uri="{FF2B5EF4-FFF2-40B4-BE49-F238E27FC236}">
                    <a16:creationId xmlns:a16="http://schemas.microsoft.com/office/drawing/2014/main" id="{00000000-0008-0000-0000-000059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2756766"/>
                <a:ext cx="618924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109.9m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0" name="Text Box 346">
                <a:extLst>
                  <a:ext uri="{FF2B5EF4-FFF2-40B4-BE49-F238E27FC236}">
                    <a16:creationId xmlns:a16="http://schemas.microsoft.com/office/drawing/2014/main" id="{00000000-0008-0000-0000-00005A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2991655"/>
                <a:ext cx="464235" cy="365761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94.2m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1" name="Text Box 347">
                <a:extLst>
                  <a:ext uri="{FF2B5EF4-FFF2-40B4-BE49-F238E27FC236}">
                    <a16:creationId xmlns:a16="http://schemas.microsoft.com/office/drawing/2014/main" id="{00000000-0008-0000-0000-00005B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3227398"/>
                <a:ext cx="464178" cy="36576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78.5m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2" name="Text Box 348">
                <a:extLst>
                  <a:ext uri="{FF2B5EF4-FFF2-40B4-BE49-F238E27FC236}">
                    <a16:creationId xmlns:a16="http://schemas.microsoft.com/office/drawing/2014/main" id="{00000000-0008-0000-0000-00005C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67" y="113442776"/>
                <a:ext cx="647059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62.8m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3" name="Text Box 349">
                <a:extLst>
                  <a:ext uri="{FF2B5EF4-FFF2-40B4-BE49-F238E27FC236}">
                    <a16:creationId xmlns:a16="http://schemas.microsoft.com/office/drawing/2014/main" id="{00000000-0008-0000-0000-00005D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13677583"/>
                <a:ext cx="478246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47.1m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4" name="Text Box 350">
                <a:extLst>
                  <a:ext uri="{FF2B5EF4-FFF2-40B4-BE49-F238E27FC236}">
                    <a16:creationId xmlns:a16="http://schemas.microsoft.com/office/drawing/2014/main" id="{00000000-0008-0000-0000-00005E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4156922"/>
                <a:ext cx="45720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15.7m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5" name="Text Box 351">
                <a:extLst>
                  <a:ext uri="{FF2B5EF4-FFF2-40B4-BE49-F238E27FC236}">
                    <a16:creationId xmlns:a16="http://schemas.microsoft.com/office/drawing/2014/main" id="{00000000-0008-0000-0000-00005F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23883" y="113930802"/>
                <a:ext cx="492314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31.4m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6" name="Text Box 352">
                <a:extLst>
                  <a:ext uri="{FF2B5EF4-FFF2-40B4-BE49-F238E27FC236}">
                    <a16:creationId xmlns:a16="http://schemas.microsoft.com/office/drawing/2014/main" id="{00000000-0008-0000-0000-000060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640" y="107365926"/>
                <a:ext cx="625280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471m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7" name="Text Box 353">
                <a:extLst>
                  <a:ext uri="{FF2B5EF4-FFF2-40B4-BE49-F238E27FC236}">
                    <a16:creationId xmlns:a16="http://schemas.microsoft.com/office/drawing/2014/main" id="{00000000-0008-0000-0000-000061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07591009"/>
                <a:ext cx="51098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455.3m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8" name="Text Box 354">
                <a:extLst>
                  <a:ext uri="{FF2B5EF4-FFF2-40B4-BE49-F238E27FC236}">
                    <a16:creationId xmlns:a16="http://schemas.microsoft.com/office/drawing/2014/main" id="{00000000-0008-0000-0000-000062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07812047"/>
                <a:ext cx="714613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439.6m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9" name="Text Box 355">
                <a:extLst>
                  <a:ext uri="{FF2B5EF4-FFF2-40B4-BE49-F238E27FC236}">
                    <a16:creationId xmlns:a16="http://schemas.microsoft.com/office/drawing/2014/main" id="{00000000-0008-0000-0000-000063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08060624"/>
                <a:ext cx="914345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423.9m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0" name="Text Box 356">
                <a:extLst>
                  <a:ext uri="{FF2B5EF4-FFF2-40B4-BE49-F238E27FC236}">
                    <a16:creationId xmlns:a16="http://schemas.microsoft.com/office/drawing/2014/main" id="{00000000-0008-0000-0000-000064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08295431"/>
                <a:ext cx="689262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408.2m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1" name="Text Box 357">
                <a:extLst>
                  <a:ext uri="{FF2B5EF4-FFF2-40B4-BE49-F238E27FC236}">
                    <a16:creationId xmlns:a16="http://schemas.microsoft.com/office/drawing/2014/main" id="{00000000-0008-0000-0000-000065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08539280"/>
                <a:ext cx="829939" cy="267286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392.5m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2" name="Text Box 358">
                <a:extLst>
                  <a:ext uri="{FF2B5EF4-FFF2-40B4-BE49-F238E27FC236}">
                    <a16:creationId xmlns:a16="http://schemas.microsoft.com/office/drawing/2014/main" id="{00000000-0008-0000-0000-000066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08784361"/>
                <a:ext cx="75960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376.8m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3" name="Text Box 359">
                <a:extLst>
                  <a:ext uri="{FF2B5EF4-FFF2-40B4-BE49-F238E27FC236}">
                    <a16:creationId xmlns:a16="http://schemas.microsoft.com/office/drawing/2014/main" id="{00000000-0008-0000-0000-000067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08981440"/>
                <a:ext cx="1125360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361.1m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4" name="Text Box 360">
                <a:extLst>
                  <a:ext uri="{FF2B5EF4-FFF2-40B4-BE49-F238E27FC236}">
                    <a16:creationId xmlns:a16="http://schemas.microsoft.com/office/drawing/2014/main" id="{00000000-0008-0000-0000-000068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09234659"/>
                <a:ext cx="829939" cy="36576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345.4m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5" name="Text Box 361">
                <a:extLst>
                  <a:ext uri="{FF2B5EF4-FFF2-40B4-BE49-F238E27FC236}">
                    <a16:creationId xmlns:a16="http://schemas.microsoft.com/office/drawing/2014/main" id="{00000000-0008-0000-0000-000069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09469467"/>
                <a:ext cx="703330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329.7m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6" name="Text Box 362">
                <a:extLst>
                  <a:ext uri="{FF2B5EF4-FFF2-40B4-BE49-F238E27FC236}">
                    <a16:creationId xmlns:a16="http://schemas.microsoft.com/office/drawing/2014/main" id="{00000000-0008-0000-0000-00006A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09704274"/>
                <a:ext cx="1280160" cy="393896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314m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7" name="Text Box 363">
                <a:extLst>
                  <a:ext uri="{FF2B5EF4-FFF2-40B4-BE49-F238E27FC236}">
                    <a16:creationId xmlns:a16="http://schemas.microsoft.com/office/drawing/2014/main" id="{00000000-0008-0000-0000-00006B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09939081"/>
                <a:ext cx="1153496" cy="30948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298.3m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8" name="Text Box 364">
                <a:extLst>
                  <a:ext uri="{FF2B5EF4-FFF2-40B4-BE49-F238E27FC236}">
                    <a16:creationId xmlns:a16="http://schemas.microsoft.com/office/drawing/2014/main" id="{00000000-0008-0000-0000-00006C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10173888"/>
                <a:ext cx="942481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282.6m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9" name="Text Box 365">
                <a:extLst>
                  <a:ext uri="{FF2B5EF4-FFF2-40B4-BE49-F238E27FC236}">
                    <a16:creationId xmlns:a16="http://schemas.microsoft.com/office/drawing/2014/main" id="{00000000-0008-0000-0000-00006D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44976" y="110408695"/>
                <a:ext cx="1322308" cy="40796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266.6m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0" name="Text Box 366">
                <a:extLst>
                  <a:ext uri="{FF2B5EF4-FFF2-40B4-BE49-F238E27FC236}">
                    <a16:creationId xmlns:a16="http://schemas.microsoft.com/office/drawing/2014/main" id="{00000000-0008-0000-0000-00006E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10643502"/>
                <a:ext cx="689262" cy="28135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251.2m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1" name="Text Box 367">
                <a:extLst>
                  <a:ext uri="{FF2B5EF4-FFF2-40B4-BE49-F238E27FC236}">
                    <a16:creationId xmlns:a16="http://schemas.microsoft.com/office/drawing/2014/main" id="{00000000-0008-0000-0000-00006F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0892647"/>
                <a:ext cx="1251970" cy="39389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235.5m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2" name="Text Box 368">
                <a:extLst>
                  <a:ext uri="{FF2B5EF4-FFF2-40B4-BE49-F238E27FC236}">
                    <a16:creationId xmlns:a16="http://schemas.microsoft.com/office/drawing/2014/main" id="{00000000-0008-0000-0000-000070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1106058"/>
                <a:ext cx="984683" cy="28135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219.8m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3" name="Text Box 369">
                <a:extLst>
                  <a:ext uri="{FF2B5EF4-FFF2-40B4-BE49-F238E27FC236}">
                    <a16:creationId xmlns:a16="http://schemas.microsoft.com/office/drawing/2014/main" id="{00000000-0008-0000-0000-00007105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640" y="111598071"/>
                <a:ext cx="984684" cy="379828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188.4m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</xdr:grpSp>
      </xdr:grpSp>
      <xdr:sp macro="" textlink="">
        <xdr:nvSpPr>
          <xdr:cNvPr id="1394" name="Text Box 370">
            <a:extLst>
              <a:ext uri="{FF2B5EF4-FFF2-40B4-BE49-F238E27FC236}">
                <a16:creationId xmlns:a16="http://schemas.microsoft.com/office/drawing/2014/main" id="{00000000-0008-0000-0000-000072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1069335" y="10719581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Elevation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5" name="Text Box 371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664403" y="107183506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      Distance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6" name="Text Box 37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241250" y="110543174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Start/finish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7" name="Text Box 373">
            <a:extLst>
              <a:ext uri="{FF2B5EF4-FFF2-40B4-BE49-F238E27FC236}">
                <a16:creationId xmlns:a16="http://schemas.microsoft.com/office/drawing/2014/main" id="{00000000-0008-0000-0000-000075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3149463" y="114214232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2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8" name="Text Box 374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99846" y="112875977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9" name="Text Box 375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140636" y="10773287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15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0" name="Text Box 376">
            <a:extLst>
              <a:ext uri="{FF2B5EF4-FFF2-40B4-BE49-F238E27FC236}">
                <a16:creationId xmlns:a16="http://schemas.microsoft.com/office/drawing/2014/main" id="{00000000-0008-0000-0000-000078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3121713" y="107183506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14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1" name="Text Box 377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86004" y="10771023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13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2" name="Text Box 378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741315" y="108432493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12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3" name="Text Box 379">
            <a:extLst>
              <a:ext uri="{FF2B5EF4-FFF2-40B4-BE49-F238E27FC236}">
                <a16:creationId xmlns:a16="http://schemas.microsoft.com/office/drawing/2014/main" id="{00000000-0008-0000-0000-00007B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86004" y="10888283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11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4" name="Text Box 380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62683" y="10933507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10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5" name="Text Box 381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337840" y="109995352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9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6" name="Text Box 382">
            <a:extLst>
              <a:ext uri="{FF2B5EF4-FFF2-40B4-BE49-F238E27FC236}">
                <a16:creationId xmlns:a16="http://schemas.microsoft.com/office/drawing/2014/main" id="{00000000-0008-0000-0000-00007E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685642" y="110473589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8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7" name="Text Box 383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438602" y="110790717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7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8" name="Text Box 384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29130" y="111426591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6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9" name="Text Box 385">
            <a:extLst>
              <a:ext uri="{FF2B5EF4-FFF2-40B4-BE49-F238E27FC236}">
                <a16:creationId xmlns:a16="http://schemas.microsoft.com/office/drawing/2014/main" id="{00000000-0008-0000-0000-000081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472509" y="111916012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5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10" name="Text Box 386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983984" y="112376938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4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11" name="Text Box 387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534586" y="113807758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3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4</xdr:row>
      <xdr:rowOff>9525</xdr:rowOff>
    </xdr:from>
    <xdr:to>
      <xdr:col>13</xdr:col>
      <xdr:colOff>590550</xdr:colOff>
      <xdr:row>28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4</xdr:row>
      <xdr:rowOff>9525</xdr:rowOff>
    </xdr:from>
    <xdr:to>
      <xdr:col>34</xdr:col>
      <xdr:colOff>19051</xdr:colOff>
      <xdr:row>27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600077</xdr:colOff>
      <xdr:row>28</xdr:row>
      <xdr:rowOff>180975</xdr:rowOff>
    </xdr:from>
    <xdr:to>
      <xdr:col>14</xdr:col>
      <xdr:colOff>0</xdr:colOff>
      <xdr:row>53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28</xdr:row>
      <xdr:rowOff>180975</xdr:rowOff>
    </xdr:from>
    <xdr:to>
      <xdr:col>34</xdr:col>
      <xdr:colOff>19050</xdr:colOff>
      <xdr:row>52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4763</xdr:colOff>
      <xdr:row>54</xdr:row>
      <xdr:rowOff>0</xdr:rowOff>
    </xdr:from>
    <xdr:to>
      <xdr:col>14</xdr:col>
      <xdr:colOff>9525</xdr:colOff>
      <xdr:row>78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600074</xdr:colOff>
      <xdr:row>53</xdr:row>
      <xdr:rowOff>190499</xdr:rowOff>
    </xdr:from>
    <xdr:to>
      <xdr:col>29</xdr:col>
      <xdr:colOff>609599</xdr:colOff>
      <xdr:row>78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79</xdr:row>
      <xdr:rowOff>0</xdr:rowOff>
    </xdr:from>
    <xdr:to>
      <xdr:col>14</xdr:col>
      <xdr:colOff>0</xdr:colOff>
      <xdr:row>103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9525</xdr:colOff>
      <xdr:row>86</xdr:row>
      <xdr:rowOff>171450</xdr:rowOff>
    </xdr:from>
    <xdr:to>
      <xdr:col>16</xdr:col>
      <xdr:colOff>447675</xdr:colOff>
      <xdr:row>94</xdr:row>
      <xdr:rowOff>19050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8543925" y="16554450"/>
          <a:ext cx="165735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The red bars are the power required, but in a downhill direction. so the values shows up as</a:t>
          </a:r>
          <a:r>
            <a:rPr lang="en-GB" sz="1100" baseline="0"/>
            <a:t> a negative. withe orange bars above still showing max power.</a:t>
          </a:r>
          <a:endParaRPr lang="en-GB" sz="1100"/>
        </a:p>
      </xdr:txBody>
    </xdr:sp>
    <xdr:clientData/>
  </xdr:twoCellAnchor>
  <xdr:twoCellAnchor>
    <xdr:from>
      <xdr:col>19</xdr:col>
      <xdr:colOff>4762</xdr:colOff>
      <xdr:row>79</xdr:row>
      <xdr:rowOff>0</xdr:rowOff>
    </xdr:from>
    <xdr:to>
      <xdr:col>29</xdr:col>
      <xdr:colOff>590550</xdr:colOff>
      <xdr:row>103</xdr:row>
      <xdr:rowOff>19050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595311</xdr:colOff>
      <xdr:row>103</xdr:row>
      <xdr:rowOff>184150</xdr:rowOff>
    </xdr:from>
    <xdr:to>
      <xdr:col>13</xdr:col>
      <xdr:colOff>587374</xdr:colOff>
      <xdr:row>128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4762</xdr:colOff>
      <xdr:row>104</xdr:row>
      <xdr:rowOff>0</xdr:rowOff>
    </xdr:from>
    <xdr:to>
      <xdr:col>30</xdr:col>
      <xdr:colOff>0</xdr:colOff>
      <xdr:row>128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taca.fr/en/news/hybrid-energy-storage-system-electric-vehicles.html" TargetMode="External"/><Relationship Id="rId2" Type="http://schemas.openxmlformats.org/officeDocument/2006/relationships/hyperlink" Target="https://www.bosch-mobility-solutions.com/en/products-and-services/passenger-cars-and-light-commercial-vehicles/powertrain-systems/electric-drive/48v-battery/integrated-motor-generator/" TargetMode="External"/><Relationship Id="rId1" Type="http://schemas.openxmlformats.org/officeDocument/2006/relationships/hyperlink" Target="https://www.cars-data.com/en/volkswagen-up-1.0-tsi-90hp-up-beats-specs/79853/tech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95"/>
  <sheetViews>
    <sheetView tabSelected="1" topLeftCell="A104" zoomScale="70" zoomScaleNormal="70" workbookViewId="0">
      <selection activeCell="K134" sqref="K134"/>
    </sheetView>
  </sheetViews>
  <sheetFormatPr defaultRowHeight="15" x14ac:dyDescent="0.25"/>
  <cols>
    <col min="2" max="2" width="46.7109375" bestFit="1" customWidth="1"/>
    <col min="3" max="3" width="30.140625" bestFit="1" customWidth="1"/>
    <col min="4" max="4" width="26.7109375" bestFit="1" customWidth="1"/>
    <col min="5" max="5" width="33.5703125" bestFit="1" customWidth="1"/>
    <col min="6" max="6" width="22" bestFit="1" customWidth="1"/>
    <col min="7" max="7" width="25.28515625" bestFit="1" customWidth="1"/>
    <col min="8" max="8" width="21.7109375" bestFit="1" customWidth="1"/>
    <col min="9" max="9" width="29.42578125" bestFit="1" customWidth="1"/>
    <col min="10" max="10" width="31.7109375" bestFit="1" customWidth="1"/>
    <col min="11" max="11" width="27.7109375" bestFit="1" customWidth="1"/>
    <col min="12" max="12" width="24.42578125" bestFit="1" customWidth="1"/>
    <col min="13" max="13" width="24.85546875" bestFit="1" customWidth="1"/>
    <col min="14" max="14" width="23.85546875" bestFit="1" customWidth="1"/>
    <col min="15" max="16" width="19.140625" bestFit="1" customWidth="1"/>
    <col min="17" max="17" width="18.140625" bestFit="1" customWidth="1"/>
    <col min="18" max="18" width="33" bestFit="1" customWidth="1"/>
    <col min="19" max="19" width="28.7109375" bestFit="1" customWidth="1"/>
    <col min="20" max="20" width="31.42578125" bestFit="1" customWidth="1"/>
    <col min="24" max="24" width="88.42578125" bestFit="1" customWidth="1"/>
  </cols>
  <sheetData>
    <row r="1" spans="2:19" x14ac:dyDescent="0.25">
      <c r="B1" s="55" t="s">
        <v>91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</row>
    <row r="2" spans="2:19" x14ac:dyDescent="0.25">
      <c r="B2" s="8" t="s">
        <v>83</v>
      </c>
      <c r="C2" s="8" t="s">
        <v>70</v>
      </c>
      <c r="D2" s="14" t="s">
        <v>109</v>
      </c>
      <c r="E2" s="8" t="s">
        <v>69</v>
      </c>
      <c r="F2" s="8" t="s">
        <v>110</v>
      </c>
      <c r="G2" s="8" t="s">
        <v>72</v>
      </c>
      <c r="H2" s="8" t="s">
        <v>82</v>
      </c>
      <c r="I2" s="8" t="s">
        <v>80</v>
      </c>
      <c r="J2" s="8" t="s">
        <v>73</v>
      </c>
      <c r="K2" s="8" t="s">
        <v>75</v>
      </c>
      <c r="L2" s="8" t="s">
        <v>77</v>
      </c>
      <c r="M2" s="8" t="s">
        <v>78</v>
      </c>
      <c r="N2" s="8" t="s">
        <v>79</v>
      </c>
      <c r="O2" s="8" t="s">
        <v>79</v>
      </c>
      <c r="P2" s="8" t="s">
        <v>92</v>
      </c>
      <c r="Q2" s="8" t="s">
        <v>92</v>
      </c>
      <c r="R2" s="8" t="s">
        <v>93</v>
      </c>
      <c r="S2" s="8" t="s">
        <v>100</v>
      </c>
    </row>
    <row r="3" spans="2:19" x14ac:dyDescent="0.25">
      <c r="B3" s="9" t="s">
        <v>71</v>
      </c>
      <c r="C3" s="9">
        <v>0</v>
      </c>
      <c r="D3" s="12">
        <f>C3</f>
        <v>0</v>
      </c>
      <c r="E3" s="9">
        <v>0</v>
      </c>
      <c r="F3" s="12">
        <f>E3</f>
        <v>0</v>
      </c>
      <c r="G3" s="9">
        <v>0</v>
      </c>
      <c r="H3" s="12">
        <f>0</f>
        <v>0</v>
      </c>
      <c r="I3" s="16">
        <f>(9.81/100)*H3</f>
        <v>0</v>
      </c>
      <c r="J3" s="12">
        <f>$C$26*N27*L27</f>
        <v>313.72380000000004</v>
      </c>
      <c r="K3" s="9">
        <v>0</v>
      </c>
      <c r="L3" s="9">
        <v>0</v>
      </c>
      <c r="M3" s="9">
        <f>J3+K3+L3</f>
        <v>313.72380000000004</v>
      </c>
      <c r="N3" s="9">
        <f t="shared" ref="N3:N19" si="0">M3*G3</f>
        <v>0</v>
      </c>
      <c r="O3" s="9">
        <v>0</v>
      </c>
      <c r="P3" s="9">
        <f t="shared" ref="P3:P19" si="1">33557.0469798658-N3</f>
        <v>33557.046979865801</v>
      </c>
      <c r="Q3" s="9">
        <v>33557.046979865801</v>
      </c>
      <c r="R3" s="12">
        <f>0</f>
        <v>0</v>
      </c>
      <c r="S3" s="12">
        <f t="shared" ref="S3:S19" si="2">N3+P3</f>
        <v>33557.046979865801</v>
      </c>
    </row>
    <row r="4" spans="2:19" x14ac:dyDescent="0.25">
      <c r="B4" s="9" t="s">
        <v>7</v>
      </c>
      <c r="C4" s="9">
        <v>150</v>
      </c>
      <c r="D4" s="12">
        <f>C4+D3</f>
        <v>150</v>
      </c>
      <c r="E4" s="12">
        <v>7</v>
      </c>
      <c r="F4" s="12">
        <f t="shared" ref="F4:F19" si="3">E4+F3</f>
        <v>7</v>
      </c>
      <c r="G4" s="9">
        <f>C4/E4</f>
        <v>21.428571428571427</v>
      </c>
      <c r="H4" s="12">
        <f>(G4-G3)/E4</f>
        <v>3.0612244897959182</v>
      </c>
      <c r="I4" s="16">
        <f t="shared" ref="I4:I19" si="4">(9.81/100)*H4</f>
        <v>0.30030612244897958</v>
      </c>
      <c r="J4" s="12">
        <f>$C$26*N28*L28</f>
        <v>313.72380000000004</v>
      </c>
      <c r="K4" s="12">
        <f>0.5*$C$27*$C$47*M27*(G4*G4)</f>
        <v>195.89271428571425</v>
      </c>
      <c r="L4" s="12">
        <f>$C$26*9.81*-SIN(I27)</f>
        <v>-2545.2759534255151</v>
      </c>
      <c r="M4" s="9">
        <f>J4+K4+L4</f>
        <v>-2035.6594391398007</v>
      </c>
      <c r="N4" s="13">
        <f t="shared" si="0"/>
        <v>-43621.273695852869</v>
      </c>
      <c r="O4" s="13">
        <v>28548.876411928199</v>
      </c>
      <c r="P4" s="13">
        <f t="shared" si="1"/>
        <v>77178.320675718671</v>
      </c>
      <c r="Q4" s="9">
        <v>33557.046979865801</v>
      </c>
      <c r="R4" s="13">
        <f t="shared" ref="R4:R19" si="5">N4/E4</f>
        <v>-6231.6105279789817</v>
      </c>
      <c r="S4" s="12">
        <f t="shared" si="2"/>
        <v>33557.046979865801</v>
      </c>
    </row>
    <row r="5" spans="2:19" x14ac:dyDescent="0.25">
      <c r="B5" s="10" t="s">
        <v>8</v>
      </c>
      <c r="C5" s="9">
        <v>68</v>
      </c>
      <c r="D5" s="12">
        <f t="shared" ref="D5:D19" si="6">C5+D4</f>
        <v>218</v>
      </c>
      <c r="E5" s="12">
        <v>3</v>
      </c>
      <c r="F5" s="12">
        <f t="shared" si="3"/>
        <v>10</v>
      </c>
      <c r="G5" s="9">
        <f t="shared" ref="G5:G19" si="7">C5/E5</f>
        <v>22.666666666666668</v>
      </c>
      <c r="H5" s="12">
        <f t="shared" ref="H5:H19" si="8">(G5-G4)/E5</f>
        <v>0.41269841269841362</v>
      </c>
      <c r="I5" s="16">
        <f t="shared" si="4"/>
        <v>4.0485714285714382E-2</v>
      </c>
      <c r="J5" s="12">
        <f t="shared" ref="J5:J19" si="9">$C$26*N28*L28</f>
        <v>313.72380000000004</v>
      </c>
      <c r="K5" s="12">
        <f t="shared" ref="K5:K19" si="10">0.5*$C$27*$C$47*M28*(G5*G5)</f>
        <v>219.1831488</v>
      </c>
      <c r="L5" s="12">
        <f t="shared" ref="L5:L19" si="11">$C$26*9.81*-SIN(I28)</f>
        <v>-2545.2759534255151</v>
      </c>
      <c r="M5" s="9">
        <f t="shared" ref="M5:M19" si="12">J5+K5+L5</f>
        <v>-2012.3690046255151</v>
      </c>
      <c r="N5" s="13">
        <f t="shared" si="0"/>
        <v>-45613.697438178344</v>
      </c>
      <c r="O5" s="13">
        <v>29670.450533404699</v>
      </c>
      <c r="P5" s="13">
        <f t="shared" si="1"/>
        <v>79170.744418044138</v>
      </c>
      <c r="Q5" s="9">
        <v>33557.046979865801</v>
      </c>
      <c r="R5" s="13">
        <f t="shared" si="5"/>
        <v>-15204.565812726114</v>
      </c>
      <c r="S5" s="12">
        <f t="shared" si="2"/>
        <v>33557.046979865794</v>
      </c>
    </row>
    <row r="6" spans="2:19" x14ac:dyDescent="0.25">
      <c r="B6" s="9" t="s">
        <v>9</v>
      </c>
      <c r="C6" s="9">
        <v>53.5</v>
      </c>
      <c r="D6" s="12">
        <f t="shared" si="6"/>
        <v>271.5</v>
      </c>
      <c r="E6" s="12">
        <v>3.5</v>
      </c>
      <c r="F6" s="12">
        <f t="shared" si="3"/>
        <v>13.5</v>
      </c>
      <c r="G6" s="9">
        <f t="shared" si="7"/>
        <v>15.285714285714286</v>
      </c>
      <c r="H6" s="12">
        <f t="shared" si="8"/>
        <v>-2.1088435374149661</v>
      </c>
      <c r="I6" s="16">
        <f t="shared" si="4"/>
        <v>-0.2068775510204082</v>
      </c>
      <c r="J6" s="12">
        <f t="shared" si="9"/>
        <v>313.72380000000004</v>
      </c>
      <c r="K6" s="12">
        <f t="shared" si="10"/>
        <v>99.678919371428577</v>
      </c>
      <c r="L6" s="12">
        <f t="shared" si="11"/>
        <v>2545.2759534255151</v>
      </c>
      <c r="M6" s="9">
        <f t="shared" si="12"/>
        <v>2958.6786727969438</v>
      </c>
      <c r="N6" s="9">
        <f t="shared" si="0"/>
        <v>45225.516855610433</v>
      </c>
      <c r="O6" s="9">
        <v>31450.823859744152</v>
      </c>
      <c r="P6" s="9">
        <f t="shared" si="1"/>
        <v>-11668.469875744631</v>
      </c>
      <c r="Q6" s="9">
        <v>2106.2231201216491</v>
      </c>
      <c r="R6" s="12">
        <f t="shared" si="5"/>
        <v>12921.576244460124</v>
      </c>
      <c r="S6" s="12">
        <f t="shared" si="2"/>
        <v>33557.046979865801</v>
      </c>
    </row>
    <row r="7" spans="2:19" x14ac:dyDescent="0.25">
      <c r="B7" s="9" t="s">
        <v>10</v>
      </c>
      <c r="C7" s="9">
        <v>80</v>
      </c>
      <c r="D7" s="12">
        <f t="shared" si="6"/>
        <v>351.5</v>
      </c>
      <c r="E7" s="12">
        <v>5</v>
      </c>
      <c r="F7" s="12">
        <f t="shared" si="3"/>
        <v>18.5</v>
      </c>
      <c r="G7" s="9">
        <f t="shared" si="7"/>
        <v>16</v>
      </c>
      <c r="H7" s="12">
        <f t="shared" si="8"/>
        <v>0.14285714285714271</v>
      </c>
      <c r="I7" s="16">
        <f t="shared" si="4"/>
        <v>1.4014285714285701E-2</v>
      </c>
      <c r="J7" s="12">
        <f t="shared" si="9"/>
        <v>313.72380000000004</v>
      </c>
      <c r="K7" s="12">
        <f t="shared" si="10"/>
        <v>109.21236479999999</v>
      </c>
      <c r="L7" s="12">
        <f t="shared" si="11"/>
        <v>2545.2759534255151</v>
      </c>
      <c r="M7" s="9">
        <f t="shared" si="12"/>
        <v>2968.212118225515</v>
      </c>
      <c r="N7" s="9">
        <f t="shared" si="0"/>
        <v>47491.393891608241</v>
      </c>
      <c r="O7" s="9">
        <v>33073.023652944481</v>
      </c>
      <c r="P7" s="9">
        <f t="shared" si="1"/>
        <v>-13934.346911742439</v>
      </c>
      <c r="Q7" s="9">
        <v>484.0233269213204</v>
      </c>
      <c r="R7" s="12">
        <f t="shared" si="5"/>
        <v>9498.2787783216481</v>
      </c>
      <c r="S7" s="12">
        <f t="shared" si="2"/>
        <v>33557.046979865801</v>
      </c>
    </row>
    <row r="8" spans="2:19" x14ac:dyDescent="0.25">
      <c r="B8" s="9" t="s">
        <v>11</v>
      </c>
      <c r="C8" s="9">
        <v>31</v>
      </c>
      <c r="D8" s="12">
        <f t="shared" si="6"/>
        <v>382.5</v>
      </c>
      <c r="E8" s="12">
        <v>2</v>
      </c>
      <c r="F8" s="12">
        <f t="shared" si="3"/>
        <v>20.5</v>
      </c>
      <c r="G8" s="9">
        <f t="shared" si="7"/>
        <v>15.5</v>
      </c>
      <c r="H8" s="12">
        <f t="shared" si="8"/>
        <v>-0.25</v>
      </c>
      <c r="I8" s="16">
        <f t="shared" si="4"/>
        <v>-2.4525000000000002E-2</v>
      </c>
      <c r="J8" s="12">
        <f t="shared" si="9"/>
        <v>313.72380000000004</v>
      </c>
      <c r="K8" s="12">
        <f t="shared" si="10"/>
        <v>102.49324469999999</v>
      </c>
      <c r="L8" s="12">
        <f t="shared" si="11"/>
        <v>2545.2759534255151</v>
      </c>
      <c r="M8" s="9">
        <f t="shared" si="12"/>
        <v>2961.492998125515</v>
      </c>
      <c r="N8" s="9">
        <f t="shared" si="0"/>
        <v>45903.141470945484</v>
      </c>
      <c r="O8" s="9">
        <v>31935.345302239966</v>
      </c>
      <c r="P8" s="9">
        <f t="shared" si="1"/>
        <v>-12346.094491079682</v>
      </c>
      <c r="Q8" s="9">
        <v>1621.7016776258351</v>
      </c>
      <c r="R8" s="12">
        <f t="shared" si="5"/>
        <v>22951.570735472742</v>
      </c>
      <c r="S8" s="12">
        <f t="shared" si="2"/>
        <v>33557.046979865801</v>
      </c>
    </row>
    <row r="9" spans="2:19" x14ac:dyDescent="0.25">
      <c r="B9" s="9" t="s">
        <v>12</v>
      </c>
      <c r="C9" s="9">
        <v>29</v>
      </c>
      <c r="D9" s="12">
        <f t="shared" si="6"/>
        <v>411.5</v>
      </c>
      <c r="E9" s="12">
        <v>2</v>
      </c>
      <c r="F9" s="12">
        <f t="shared" si="3"/>
        <v>22.5</v>
      </c>
      <c r="G9" s="9">
        <f t="shared" si="7"/>
        <v>14.5</v>
      </c>
      <c r="H9" s="12">
        <f t="shared" si="8"/>
        <v>-0.5</v>
      </c>
      <c r="I9" s="16">
        <f t="shared" si="4"/>
        <v>-4.9050000000000003E-2</v>
      </c>
      <c r="J9" s="12">
        <f t="shared" si="9"/>
        <v>313.72380000000004</v>
      </c>
      <c r="K9" s="12">
        <f t="shared" si="10"/>
        <v>89.694920699999997</v>
      </c>
      <c r="L9" s="12">
        <f t="shared" si="11"/>
        <v>2545.2759534255151</v>
      </c>
      <c r="M9" s="9">
        <f t="shared" si="12"/>
        <v>2948.6946741255151</v>
      </c>
      <c r="N9" s="9">
        <f t="shared" si="0"/>
        <v>42756.072774819972</v>
      </c>
      <c r="O9" s="9">
        <v>29689.424746030934</v>
      </c>
      <c r="P9" s="9">
        <f t="shared" si="1"/>
        <v>-9199.0257949541701</v>
      </c>
      <c r="Q9" s="9">
        <v>3867.6222338348671</v>
      </c>
      <c r="R9" s="12">
        <f t="shared" si="5"/>
        <v>21378.036387409986</v>
      </c>
      <c r="S9" s="12">
        <f t="shared" si="2"/>
        <v>33557.046979865801</v>
      </c>
    </row>
    <row r="10" spans="2:19" x14ac:dyDescent="0.25">
      <c r="B10" s="9" t="s">
        <v>13</v>
      </c>
      <c r="C10" s="9">
        <v>32</v>
      </c>
      <c r="D10" s="12">
        <f t="shared" si="6"/>
        <v>443.5</v>
      </c>
      <c r="E10" s="12">
        <v>2</v>
      </c>
      <c r="F10" s="12">
        <f t="shared" si="3"/>
        <v>24.5</v>
      </c>
      <c r="G10" s="9">
        <f t="shared" si="7"/>
        <v>16</v>
      </c>
      <c r="H10" s="12">
        <f t="shared" si="8"/>
        <v>0.75</v>
      </c>
      <c r="I10" s="16">
        <f t="shared" si="4"/>
        <v>7.3575000000000002E-2</v>
      </c>
      <c r="J10" s="12">
        <f t="shared" si="9"/>
        <v>313.72380000000004</v>
      </c>
      <c r="K10" s="12">
        <f t="shared" si="10"/>
        <v>109.21236479999999</v>
      </c>
      <c r="L10" s="12">
        <f t="shared" si="11"/>
        <v>2545.2759534255151</v>
      </c>
      <c r="M10" s="9">
        <f t="shared" si="12"/>
        <v>2968.212118225515</v>
      </c>
      <c r="N10" s="9">
        <f t="shared" si="0"/>
        <v>47491.393891608241</v>
      </c>
      <c r="O10" s="9">
        <v>33073.023652944481</v>
      </c>
      <c r="P10" s="9">
        <f t="shared" si="1"/>
        <v>-13934.346911742439</v>
      </c>
      <c r="Q10" s="9">
        <v>484.0233269213204</v>
      </c>
      <c r="R10" s="12">
        <f t="shared" si="5"/>
        <v>23745.69694580412</v>
      </c>
      <c r="S10" s="12">
        <f t="shared" si="2"/>
        <v>33557.046979865801</v>
      </c>
    </row>
    <row r="11" spans="2:19" x14ac:dyDescent="0.25">
      <c r="B11" s="9" t="s">
        <v>14</v>
      </c>
      <c r="C11" s="9">
        <v>35.5</v>
      </c>
      <c r="D11" s="12">
        <f t="shared" si="6"/>
        <v>479</v>
      </c>
      <c r="E11" s="12">
        <v>2.5</v>
      </c>
      <c r="F11" s="12">
        <f t="shared" si="3"/>
        <v>27</v>
      </c>
      <c r="G11" s="9">
        <f t="shared" si="7"/>
        <v>14.2</v>
      </c>
      <c r="H11" s="12">
        <f t="shared" si="8"/>
        <v>-0.72000000000000031</v>
      </c>
      <c r="I11" s="16">
        <f t="shared" si="4"/>
        <v>-7.0632000000000028E-2</v>
      </c>
      <c r="J11" s="12">
        <f t="shared" si="9"/>
        <v>313.72380000000004</v>
      </c>
      <c r="K11" s="12">
        <f t="shared" si="10"/>
        <v>86.021801711999984</v>
      </c>
      <c r="L11" s="12">
        <f t="shared" si="11"/>
        <v>2545.2759534255151</v>
      </c>
      <c r="M11" s="9">
        <f t="shared" si="12"/>
        <v>2945.021555137515</v>
      </c>
      <c r="N11" s="9">
        <f t="shared" si="0"/>
        <v>41819.306082952709</v>
      </c>
      <c r="O11" s="9">
        <v>29023.002496138623</v>
      </c>
      <c r="P11" s="9">
        <f t="shared" si="1"/>
        <v>-8262.259103086908</v>
      </c>
      <c r="Q11" s="9">
        <v>4534.0444837271789</v>
      </c>
      <c r="R11" s="12">
        <f t="shared" si="5"/>
        <v>16727.722433181083</v>
      </c>
      <c r="S11" s="12">
        <f t="shared" si="2"/>
        <v>33557.046979865801</v>
      </c>
    </row>
    <row r="12" spans="2:19" x14ac:dyDescent="0.25">
      <c r="B12" s="9" t="s">
        <v>15</v>
      </c>
      <c r="C12" s="9">
        <v>44</v>
      </c>
      <c r="D12" s="12">
        <f t="shared" si="6"/>
        <v>523</v>
      </c>
      <c r="E12" s="12">
        <v>3</v>
      </c>
      <c r="F12" s="12">
        <f t="shared" si="3"/>
        <v>30</v>
      </c>
      <c r="G12" s="9">
        <f t="shared" si="7"/>
        <v>14.666666666666666</v>
      </c>
      <c r="H12" s="12">
        <f t="shared" si="8"/>
        <v>0.15555555555555559</v>
      </c>
      <c r="I12" s="16">
        <f t="shared" si="4"/>
        <v>1.5260000000000004E-2</v>
      </c>
      <c r="J12" s="12">
        <f t="shared" si="9"/>
        <v>313.72380000000004</v>
      </c>
      <c r="K12" s="12">
        <f t="shared" si="10"/>
        <v>91.768723199999982</v>
      </c>
      <c r="L12" s="12">
        <f t="shared" si="11"/>
        <v>2545.2759534255151</v>
      </c>
      <c r="M12" s="9">
        <f t="shared" si="12"/>
        <v>2950.7684766255152</v>
      </c>
      <c r="N12" s="9">
        <f t="shared" si="0"/>
        <v>43277.937657174218</v>
      </c>
      <c r="O12" s="9">
        <v>30061.09827173244</v>
      </c>
      <c r="P12" s="9">
        <f t="shared" si="1"/>
        <v>-9720.8906773084163</v>
      </c>
      <c r="Q12" s="9">
        <v>3495.9487081333609</v>
      </c>
      <c r="R12" s="12">
        <f t="shared" si="5"/>
        <v>14425.979219058072</v>
      </c>
      <c r="S12" s="12">
        <f t="shared" si="2"/>
        <v>33557.046979865801</v>
      </c>
    </row>
    <row r="13" spans="2:19" x14ac:dyDescent="0.25">
      <c r="B13" s="9" t="s">
        <v>16</v>
      </c>
      <c r="C13" s="9">
        <v>58</v>
      </c>
      <c r="D13" s="12">
        <f t="shared" si="6"/>
        <v>581</v>
      </c>
      <c r="E13" s="12">
        <v>4</v>
      </c>
      <c r="F13" s="12">
        <f t="shared" si="3"/>
        <v>34</v>
      </c>
      <c r="G13" s="9">
        <f t="shared" si="7"/>
        <v>14.5</v>
      </c>
      <c r="H13" s="12">
        <f t="shared" si="8"/>
        <v>-4.1666666666666519E-2</v>
      </c>
      <c r="I13" s="16">
        <f t="shared" si="4"/>
        <v>-4.0874999999999861E-3</v>
      </c>
      <c r="J13" s="12">
        <f t="shared" si="9"/>
        <v>313.72380000000004</v>
      </c>
      <c r="K13" s="12">
        <f t="shared" si="10"/>
        <v>89.694920699999997</v>
      </c>
      <c r="L13" s="12">
        <f t="shared" si="11"/>
        <v>2545.2759534255151</v>
      </c>
      <c r="M13" s="9">
        <f t="shared" si="12"/>
        <v>2948.6946741255151</v>
      </c>
      <c r="N13" s="9">
        <f t="shared" si="0"/>
        <v>42756.072774819972</v>
      </c>
      <c r="O13" s="9">
        <v>29689.424746030934</v>
      </c>
      <c r="P13" s="9">
        <f t="shared" si="1"/>
        <v>-9199.0257949541701</v>
      </c>
      <c r="Q13" s="9">
        <v>3867.6222338348671</v>
      </c>
      <c r="R13" s="12">
        <f t="shared" si="5"/>
        <v>10689.018193704993</v>
      </c>
      <c r="S13" s="12">
        <f t="shared" si="2"/>
        <v>33557.046979865801</v>
      </c>
    </row>
    <row r="14" spans="2:19" x14ac:dyDescent="0.25">
      <c r="B14" s="9" t="s">
        <v>17</v>
      </c>
      <c r="C14" s="9">
        <v>40</v>
      </c>
      <c r="D14" s="12">
        <f t="shared" si="6"/>
        <v>621</v>
      </c>
      <c r="E14" s="12">
        <v>3</v>
      </c>
      <c r="F14" s="12">
        <f t="shared" si="3"/>
        <v>37</v>
      </c>
      <c r="G14" s="9">
        <f t="shared" si="7"/>
        <v>13.333333333333334</v>
      </c>
      <c r="H14" s="12">
        <f t="shared" si="8"/>
        <v>-0.38888888888888867</v>
      </c>
      <c r="I14" s="16">
        <f t="shared" si="4"/>
        <v>-3.8149999999999983E-2</v>
      </c>
      <c r="J14" s="12">
        <f t="shared" si="9"/>
        <v>313.72380000000004</v>
      </c>
      <c r="K14" s="12">
        <f t="shared" si="10"/>
        <v>75.841920000000002</v>
      </c>
      <c r="L14" s="12">
        <f t="shared" si="11"/>
        <v>2545.2759534255151</v>
      </c>
      <c r="M14" s="9">
        <f t="shared" si="12"/>
        <v>2934.8416734255152</v>
      </c>
      <c r="N14" s="9">
        <f t="shared" si="0"/>
        <v>39131.222312340207</v>
      </c>
      <c r="O14" s="9">
        <v>27115.913780120401</v>
      </c>
      <c r="P14" s="9">
        <f t="shared" si="1"/>
        <v>-5574.1753324744059</v>
      </c>
      <c r="Q14" s="9">
        <v>6441.1331997453999</v>
      </c>
      <c r="R14" s="12">
        <f t="shared" si="5"/>
        <v>13043.740770780068</v>
      </c>
      <c r="S14" s="12">
        <f t="shared" si="2"/>
        <v>33557.046979865801</v>
      </c>
    </row>
    <row r="15" spans="2:19" x14ac:dyDescent="0.25">
      <c r="B15" s="9" t="s">
        <v>18</v>
      </c>
      <c r="C15" s="9">
        <v>68</v>
      </c>
      <c r="D15" s="12">
        <f t="shared" si="6"/>
        <v>689</v>
      </c>
      <c r="E15" s="12">
        <v>4.5</v>
      </c>
      <c r="F15" s="12">
        <f t="shared" si="3"/>
        <v>41.5</v>
      </c>
      <c r="G15" s="9">
        <f t="shared" si="7"/>
        <v>15.111111111111111</v>
      </c>
      <c r="H15" s="12">
        <f t="shared" si="8"/>
        <v>0.39506172839506148</v>
      </c>
      <c r="I15" s="16">
        <f t="shared" si="4"/>
        <v>3.8755555555555536E-2</v>
      </c>
      <c r="J15" s="12">
        <f t="shared" si="9"/>
        <v>313.72380000000004</v>
      </c>
      <c r="K15" s="12">
        <f t="shared" si="10"/>
        <v>97.414732799999982</v>
      </c>
      <c r="L15" s="12">
        <f t="shared" si="11"/>
        <v>2545.2759534255151</v>
      </c>
      <c r="M15" s="9">
        <f t="shared" si="12"/>
        <v>2956.4144862255152</v>
      </c>
      <c r="N15" s="9">
        <f t="shared" si="0"/>
        <v>44674.707791852226</v>
      </c>
      <c r="O15" s="9">
        <v>31057.358122003116</v>
      </c>
      <c r="P15" s="9">
        <f t="shared" si="1"/>
        <v>-11117.660811986425</v>
      </c>
      <c r="Q15" s="9">
        <v>2499.6888578626858</v>
      </c>
      <c r="R15" s="12">
        <f t="shared" si="5"/>
        <v>9927.7128426338277</v>
      </c>
      <c r="S15" s="12">
        <f t="shared" si="2"/>
        <v>33557.046979865801</v>
      </c>
    </row>
    <row r="16" spans="2:19" x14ac:dyDescent="0.25">
      <c r="B16" s="9" t="s">
        <v>19</v>
      </c>
      <c r="C16" s="9">
        <v>31</v>
      </c>
      <c r="D16" s="12">
        <f t="shared" si="6"/>
        <v>720</v>
      </c>
      <c r="E16" s="12">
        <v>2</v>
      </c>
      <c r="F16" s="12">
        <f t="shared" si="3"/>
        <v>43.5</v>
      </c>
      <c r="G16" s="9">
        <f t="shared" si="7"/>
        <v>15.5</v>
      </c>
      <c r="H16" s="12">
        <f t="shared" si="8"/>
        <v>0.19444444444444464</v>
      </c>
      <c r="I16" s="16">
        <f t="shared" si="4"/>
        <v>1.9075000000000019E-2</v>
      </c>
      <c r="J16" s="12">
        <f t="shared" si="9"/>
        <v>313.72380000000004</v>
      </c>
      <c r="K16" s="12">
        <f t="shared" si="10"/>
        <v>102.49324469999999</v>
      </c>
      <c r="L16" s="12">
        <f t="shared" si="11"/>
        <v>2545.2759534255151</v>
      </c>
      <c r="M16" s="9">
        <f t="shared" si="12"/>
        <v>2961.492998125515</v>
      </c>
      <c r="N16" s="9">
        <f t="shared" si="0"/>
        <v>45903.141470945484</v>
      </c>
      <c r="O16" s="9">
        <v>31935.345302239966</v>
      </c>
      <c r="P16" s="9">
        <f t="shared" si="1"/>
        <v>-12346.094491079682</v>
      </c>
      <c r="Q16" s="9">
        <v>1621.7016776258351</v>
      </c>
      <c r="R16" s="12">
        <f t="shared" si="5"/>
        <v>22951.570735472742</v>
      </c>
      <c r="S16" s="12">
        <f t="shared" si="2"/>
        <v>33557.046979865801</v>
      </c>
    </row>
    <row r="17" spans="2:20" x14ac:dyDescent="0.25">
      <c r="B17" s="9" t="s">
        <v>20</v>
      </c>
      <c r="C17" s="9">
        <v>20</v>
      </c>
      <c r="D17" s="12">
        <f t="shared" si="6"/>
        <v>740</v>
      </c>
      <c r="E17" s="12">
        <v>1.5</v>
      </c>
      <c r="F17" s="12">
        <f t="shared" si="3"/>
        <v>45</v>
      </c>
      <c r="G17" s="9">
        <f t="shared" si="7"/>
        <v>13.333333333333334</v>
      </c>
      <c r="H17" s="12">
        <f t="shared" si="8"/>
        <v>-1.444444444444444</v>
      </c>
      <c r="I17" s="16">
        <f t="shared" si="4"/>
        <v>-0.14169999999999996</v>
      </c>
      <c r="J17" s="12">
        <f t="shared" si="9"/>
        <v>313.72380000000004</v>
      </c>
      <c r="K17" s="12">
        <f t="shared" si="10"/>
        <v>75.841920000000002</v>
      </c>
      <c r="L17" s="12">
        <f t="shared" si="11"/>
        <v>2545.2759534255151</v>
      </c>
      <c r="M17" s="9">
        <f t="shared" si="12"/>
        <v>2934.8416734255152</v>
      </c>
      <c r="N17" s="9">
        <f t="shared" si="0"/>
        <v>39131.222312340207</v>
      </c>
      <c r="O17" s="9">
        <v>27115.913780120401</v>
      </c>
      <c r="P17" s="9">
        <f t="shared" si="1"/>
        <v>-5574.1753324744059</v>
      </c>
      <c r="Q17" s="9">
        <v>6441.1331997453999</v>
      </c>
      <c r="R17" s="12">
        <f t="shared" si="5"/>
        <v>26087.481541560137</v>
      </c>
      <c r="S17" s="12">
        <f t="shared" si="2"/>
        <v>33557.046979865801</v>
      </c>
    </row>
    <row r="18" spans="2:20" x14ac:dyDescent="0.25">
      <c r="B18" s="9" t="s">
        <v>21</v>
      </c>
      <c r="C18" s="9">
        <v>80</v>
      </c>
      <c r="D18" s="12">
        <f t="shared" si="6"/>
        <v>820</v>
      </c>
      <c r="E18" s="12">
        <v>5</v>
      </c>
      <c r="F18" s="12">
        <f t="shared" si="3"/>
        <v>50</v>
      </c>
      <c r="G18" s="9">
        <f t="shared" si="7"/>
        <v>16</v>
      </c>
      <c r="H18" s="12">
        <f t="shared" si="8"/>
        <v>0.53333333333333321</v>
      </c>
      <c r="I18" s="16">
        <f t="shared" si="4"/>
        <v>5.2319999999999992E-2</v>
      </c>
      <c r="J18" s="12">
        <f t="shared" si="9"/>
        <v>313.72380000000004</v>
      </c>
      <c r="K18" s="12">
        <f t="shared" si="10"/>
        <v>109.21236479999999</v>
      </c>
      <c r="L18" s="12">
        <f t="shared" si="11"/>
        <v>-2545.2759534255151</v>
      </c>
      <c r="M18" s="9">
        <f t="shared" si="12"/>
        <v>-2122.3397886255152</v>
      </c>
      <c r="N18" s="13">
        <f t="shared" si="0"/>
        <v>-33957.436618008243</v>
      </c>
      <c r="O18" s="13">
        <v>22703.3799793445</v>
      </c>
      <c r="P18" s="13">
        <f t="shared" si="1"/>
        <v>67514.483597874045</v>
      </c>
      <c r="Q18" s="9">
        <v>33557.046979865801</v>
      </c>
      <c r="R18" s="13">
        <f t="shared" si="5"/>
        <v>-6791.4873236016483</v>
      </c>
      <c r="S18" s="12">
        <f t="shared" si="2"/>
        <v>33557.046979865801</v>
      </c>
    </row>
    <row r="19" spans="2:20" x14ac:dyDescent="0.25">
      <c r="B19" s="9" t="s">
        <v>22</v>
      </c>
      <c r="C19" s="9">
        <v>180</v>
      </c>
      <c r="D19" s="12">
        <f t="shared" si="6"/>
        <v>1000</v>
      </c>
      <c r="E19" s="12">
        <v>7</v>
      </c>
      <c r="F19" s="12">
        <f t="shared" si="3"/>
        <v>57</v>
      </c>
      <c r="G19" s="9">
        <f t="shared" si="7"/>
        <v>25.714285714285715</v>
      </c>
      <c r="H19" s="12">
        <f t="shared" si="8"/>
        <v>1.3877551020408165</v>
      </c>
      <c r="I19" s="16">
        <f t="shared" si="4"/>
        <v>0.13613877551020412</v>
      </c>
      <c r="J19" s="12">
        <f t="shared" si="9"/>
        <v>313.72380000000004</v>
      </c>
      <c r="K19" s="12">
        <f t="shared" si="10"/>
        <v>282.08550857142859</v>
      </c>
      <c r="L19" s="12">
        <f t="shared" si="11"/>
        <v>-2545.2759534255151</v>
      </c>
      <c r="M19" s="9">
        <f t="shared" si="12"/>
        <v>-1949.4666448540866</v>
      </c>
      <c r="N19" s="13">
        <f t="shared" si="0"/>
        <v>-50129.142296247941</v>
      </c>
      <c r="O19" s="13">
        <v>32042.265555538299</v>
      </c>
      <c r="P19" s="13">
        <f t="shared" si="1"/>
        <v>83686.189276113742</v>
      </c>
      <c r="Q19" s="9">
        <v>33557.046979865801</v>
      </c>
      <c r="R19" s="13">
        <f t="shared" si="5"/>
        <v>-7161.3060423211346</v>
      </c>
      <c r="S19" s="12">
        <f t="shared" si="2"/>
        <v>33557.046979865801</v>
      </c>
    </row>
    <row r="20" spans="2:20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9">
        <f>MAX(N3:N19)</f>
        <v>47491.393891608241</v>
      </c>
      <c r="O20" s="15"/>
      <c r="P20" s="15"/>
      <c r="Q20" s="15"/>
    </row>
    <row r="23" spans="2:20" x14ac:dyDescent="0.25">
      <c r="O23" s="21"/>
    </row>
    <row r="24" spans="2:20" x14ac:dyDescent="0.25">
      <c r="B24" s="7" t="s">
        <v>0</v>
      </c>
      <c r="C24" s="7" t="s">
        <v>4</v>
      </c>
      <c r="F24" s="54" t="s">
        <v>90</v>
      </c>
      <c r="G24" s="54"/>
      <c r="H24" s="54"/>
      <c r="I24" s="54"/>
      <c r="J24" s="54"/>
      <c r="K24" s="54"/>
      <c r="L24" s="54"/>
      <c r="M24" s="54"/>
      <c r="N24" s="54"/>
      <c r="O24" s="19"/>
      <c r="P24" s="8" t="s">
        <v>83</v>
      </c>
      <c r="Q24" s="8" t="s">
        <v>70</v>
      </c>
      <c r="R24" s="14" t="s">
        <v>109</v>
      </c>
      <c r="S24" s="8" t="s">
        <v>69</v>
      </c>
      <c r="T24" s="8" t="s">
        <v>110</v>
      </c>
    </row>
    <row r="25" spans="2:20" x14ac:dyDescent="0.25">
      <c r="B25" s="6" t="s">
        <v>1</v>
      </c>
      <c r="C25" s="6" t="s">
        <v>42</v>
      </c>
      <c r="F25" s="26" t="s">
        <v>83</v>
      </c>
      <c r="G25" s="26" t="s">
        <v>85</v>
      </c>
      <c r="H25" s="26" t="s">
        <v>84</v>
      </c>
      <c r="I25" s="26" t="s">
        <v>86</v>
      </c>
      <c r="J25" s="26" t="s">
        <v>95</v>
      </c>
      <c r="K25" s="26" t="s">
        <v>94</v>
      </c>
      <c r="L25" s="26" t="s">
        <v>87</v>
      </c>
      <c r="M25" s="26" t="s">
        <v>88</v>
      </c>
      <c r="N25" s="26" t="s">
        <v>89</v>
      </c>
      <c r="O25" s="19"/>
      <c r="P25" s="9" t="s">
        <v>71</v>
      </c>
      <c r="Q25" s="9">
        <v>0</v>
      </c>
      <c r="R25" s="12">
        <f>Q25</f>
        <v>0</v>
      </c>
      <c r="S25" s="9">
        <v>0</v>
      </c>
      <c r="T25" s="12">
        <f>S25</f>
        <v>0</v>
      </c>
    </row>
    <row r="26" spans="2:20" x14ac:dyDescent="0.25">
      <c r="B26" s="6" t="s">
        <v>74</v>
      </c>
      <c r="C26" s="6">
        <f>365+(84*2)</f>
        <v>533</v>
      </c>
      <c r="D26" s="6" t="s">
        <v>112</v>
      </c>
      <c r="F26" s="4" t="s">
        <v>81</v>
      </c>
      <c r="G26" s="4">
        <v>0</v>
      </c>
      <c r="H26" s="4">
        <f>G26</f>
        <v>0</v>
      </c>
      <c r="I26" s="4">
        <v>0</v>
      </c>
      <c r="J26" s="4">
        <v>0</v>
      </c>
      <c r="K26" s="4">
        <v>0</v>
      </c>
      <c r="L26" s="4">
        <v>0</v>
      </c>
      <c r="M26" s="4">
        <v>1.2</v>
      </c>
      <c r="N26" s="4">
        <v>9.81</v>
      </c>
      <c r="O26" s="20"/>
      <c r="P26" s="9" t="s">
        <v>7</v>
      </c>
      <c r="Q26" s="9">
        <v>150</v>
      </c>
      <c r="R26" s="12">
        <f>Q26+R25</f>
        <v>150</v>
      </c>
      <c r="S26" s="12">
        <v>7</v>
      </c>
      <c r="T26" s="12">
        <f t="shared" ref="T26:T41" si="13">S26+T25</f>
        <v>7</v>
      </c>
    </row>
    <row r="27" spans="2:20" x14ac:dyDescent="0.25">
      <c r="B27" s="6" t="s">
        <v>76</v>
      </c>
      <c r="C27" s="6">
        <f>(C43*C42*0.7)/1000000</f>
        <v>1.8710999999999998</v>
      </c>
      <c r="F27" s="3" t="s">
        <v>7</v>
      </c>
      <c r="G27" s="3">
        <v>-10</v>
      </c>
      <c r="H27" s="4">
        <f t="shared" ref="H27:H42" si="14">G27+H26</f>
        <v>-10</v>
      </c>
      <c r="I27" s="3">
        <v>-3.65</v>
      </c>
      <c r="J27" s="3">
        <v>150</v>
      </c>
      <c r="K27" s="3">
        <f>(J27)</f>
        <v>150</v>
      </c>
      <c r="L27" s="3">
        <v>0.06</v>
      </c>
      <c r="M27" s="4">
        <v>1.2</v>
      </c>
      <c r="N27" s="3">
        <v>9.81</v>
      </c>
      <c r="O27" s="15"/>
      <c r="P27" s="10" t="s">
        <v>8</v>
      </c>
      <c r="Q27" s="9">
        <v>68</v>
      </c>
      <c r="R27" s="12">
        <f t="shared" ref="R27" si="15">Q27+R26</f>
        <v>218</v>
      </c>
      <c r="S27" s="12">
        <v>3</v>
      </c>
      <c r="T27" s="12">
        <f t="shared" si="13"/>
        <v>10</v>
      </c>
    </row>
    <row r="28" spans="2:20" x14ac:dyDescent="0.25">
      <c r="B28" s="6" t="s">
        <v>3</v>
      </c>
      <c r="C28" s="6" t="s">
        <v>41</v>
      </c>
      <c r="F28" s="5" t="s">
        <v>8</v>
      </c>
      <c r="G28" s="3">
        <v>-6</v>
      </c>
      <c r="H28" s="4">
        <f t="shared" si="14"/>
        <v>-16</v>
      </c>
      <c r="I28" s="3">
        <v>-3.65</v>
      </c>
      <c r="J28" s="3">
        <v>68</v>
      </c>
      <c r="K28" s="3">
        <f>(K27+J28)</f>
        <v>218</v>
      </c>
      <c r="L28" s="3">
        <v>0.06</v>
      </c>
      <c r="M28" s="4">
        <v>1.2</v>
      </c>
      <c r="N28" s="3">
        <v>9.81</v>
      </c>
      <c r="O28" s="15"/>
      <c r="P28" s="9" t="s">
        <v>9</v>
      </c>
      <c r="Q28" s="9">
        <v>54</v>
      </c>
      <c r="R28" s="12">
        <f>Q28+R27</f>
        <v>272</v>
      </c>
      <c r="S28" s="12">
        <v>4</v>
      </c>
      <c r="T28" s="12">
        <f t="shared" si="13"/>
        <v>14</v>
      </c>
    </row>
    <row r="29" spans="2:20" x14ac:dyDescent="0.25">
      <c r="B29" s="6" t="s">
        <v>65</v>
      </c>
      <c r="C29" s="6">
        <f>0.635*3.1415926</f>
        <v>1.9949113010000001</v>
      </c>
      <c r="F29" s="3" t="s">
        <v>9</v>
      </c>
      <c r="G29" s="3">
        <v>2.5</v>
      </c>
      <c r="H29" s="4">
        <f t="shared" si="14"/>
        <v>-13.5</v>
      </c>
      <c r="I29" s="3">
        <v>3.65</v>
      </c>
      <c r="J29" s="3">
        <v>53.5</v>
      </c>
      <c r="K29" s="3">
        <f t="shared" ref="K29:K42" si="16">(K28+J29)</f>
        <v>271.5</v>
      </c>
      <c r="L29" s="3">
        <v>0.06</v>
      </c>
      <c r="M29" s="4">
        <v>1.2</v>
      </c>
      <c r="N29" s="3">
        <v>9.81</v>
      </c>
      <c r="O29" s="15"/>
      <c r="P29" s="9" t="s">
        <v>10</v>
      </c>
      <c r="Q29" s="9">
        <v>80</v>
      </c>
      <c r="R29" s="12">
        <f t="shared" ref="R29:R41" si="17">Q29+R28</f>
        <v>352</v>
      </c>
      <c r="S29" s="12">
        <v>5</v>
      </c>
      <c r="T29" s="12">
        <f t="shared" si="13"/>
        <v>19</v>
      </c>
    </row>
    <row r="30" spans="2:20" x14ac:dyDescent="0.25">
      <c r="B30" s="6" t="s">
        <v>66</v>
      </c>
      <c r="C30" s="6">
        <f>0.635*3.1415926</f>
        <v>1.9949113010000001</v>
      </c>
      <c r="F30" s="3" t="s">
        <v>10</v>
      </c>
      <c r="G30" s="3">
        <v>5.5</v>
      </c>
      <c r="H30" s="4">
        <f t="shared" si="14"/>
        <v>-8</v>
      </c>
      <c r="I30" s="3">
        <v>3.65</v>
      </c>
      <c r="J30" s="3">
        <v>80</v>
      </c>
      <c r="K30" s="3">
        <f t="shared" si="16"/>
        <v>351.5</v>
      </c>
      <c r="L30" s="3">
        <v>0.06</v>
      </c>
      <c r="M30" s="4">
        <v>1.2</v>
      </c>
      <c r="N30" s="3">
        <v>9.81</v>
      </c>
      <c r="O30" s="15"/>
      <c r="P30" s="9" t="s">
        <v>11</v>
      </c>
      <c r="Q30" s="9">
        <v>31</v>
      </c>
      <c r="R30" s="12">
        <f t="shared" si="17"/>
        <v>383</v>
      </c>
      <c r="S30" s="12">
        <v>2</v>
      </c>
      <c r="T30" s="12">
        <f t="shared" si="13"/>
        <v>21</v>
      </c>
    </row>
    <row r="31" spans="2:20" x14ac:dyDescent="0.25">
      <c r="B31" s="6" t="s">
        <v>68</v>
      </c>
      <c r="C31" s="6">
        <v>9</v>
      </c>
      <c r="F31" s="3" t="s">
        <v>11</v>
      </c>
      <c r="G31" s="3">
        <v>2.5</v>
      </c>
      <c r="H31" s="4">
        <f t="shared" si="14"/>
        <v>-5.5</v>
      </c>
      <c r="I31" s="3">
        <v>3.65</v>
      </c>
      <c r="J31" s="3">
        <v>31</v>
      </c>
      <c r="K31" s="3">
        <f t="shared" si="16"/>
        <v>382.5</v>
      </c>
      <c r="L31" s="3">
        <v>0.06</v>
      </c>
      <c r="M31" s="4">
        <v>1.2</v>
      </c>
      <c r="N31" s="3">
        <v>9.81</v>
      </c>
      <c r="O31" s="15"/>
      <c r="P31" s="9" t="s">
        <v>12</v>
      </c>
      <c r="Q31" s="9">
        <v>29</v>
      </c>
      <c r="R31" s="12">
        <f t="shared" si="17"/>
        <v>412</v>
      </c>
      <c r="S31" s="12">
        <v>2</v>
      </c>
      <c r="T31" s="12">
        <f t="shared" si="13"/>
        <v>23</v>
      </c>
    </row>
    <row r="32" spans="2:20" x14ac:dyDescent="0.25">
      <c r="B32" s="6" t="s">
        <v>63</v>
      </c>
      <c r="C32" s="6">
        <v>12</v>
      </c>
      <c r="F32" s="3" t="s">
        <v>12</v>
      </c>
      <c r="G32" s="3">
        <v>2</v>
      </c>
      <c r="H32" s="4">
        <f t="shared" si="14"/>
        <v>-3.5</v>
      </c>
      <c r="I32" s="3">
        <v>3.65</v>
      </c>
      <c r="J32" s="3">
        <v>29</v>
      </c>
      <c r="K32" s="3">
        <f t="shared" si="16"/>
        <v>411.5</v>
      </c>
      <c r="L32" s="3">
        <v>0.06</v>
      </c>
      <c r="M32" s="4">
        <v>1.2</v>
      </c>
      <c r="N32" s="3">
        <v>9.81</v>
      </c>
      <c r="O32" s="15"/>
      <c r="P32" s="9" t="s">
        <v>13</v>
      </c>
      <c r="Q32" s="9">
        <v>32</v>
      </c>
      <c r="R32" s="12">
        <f t="shared" si="17"/>
        <v>444</v>
      </c>
      <c r="S32" s="12">
        <v>2</v>
      </c>
      <c r="T32" s="12">
        <f t="shared" si="13"/>
        <v>25</v>
      </c>
    </row>
    <row r="33" spans="2:20" x14ac:dyDescent="0.25">
      <c r="B33" s="6" t="s">
        <v>64</v>
      </c>
      <c r="C33" s="6">
        <v>10</v>
      </c>
      <c r="F33" s="3" t="s">
        <v>13</v>
      </c>
      <c r="G33" s="3">
        <v>2.5</v>
      </c>
      <c r="H33" s="4">
        <f t="shared" si="14"/>
        <v>-1</v>
      </c>
      <c r="I33" s="3">
        <v>3.65</v>
      </c>
      <c r="J33" s="3">
        <v>32</v>
      </c>
      <c r="K33" s="3">
        <f t="shared" si="16"/>
        <v>443.5</v>
      </c>
      <c r="L33" s="3">
        <v>0.06</v>
      </c>
      <c r="M33" s="4">
        <v>1.2</v>
      </c>
      <c r="N33" s="3">
        <v>9.81</v>
      </c>
      <c r="O33" s="15"/>
      <c r="P33" s="9" t="s">
        <v>14</v>
      </c>
      <c r="Q33" s="9">
        <v>35</v>
      </c>
      <c r="R33" s="12">
        <f t="shared" si="17"/>
        <v>479</v>
      </c>
      <c r="S33" s="12">
        <v>2</v>
      </c>
      <c r="T33" s="12">
        <f t="shared" si="13"/>
        <v>27</v>
      </c>
    </row>
    <row r="34" spans="2:20" x14ac:dyDescent="0.25">
      <c r="B34" s="6" t="s">
        <v>39</v>
      </c>
      <c r="C34" s="6">
        <v>6</v>
      </c>
      <c r="F34" s="3" t="s">
        <v>14</v>
      </c>
      <c r="G34" s="3">
        <v>2</v>
      </c>
      <c r="H34" s="4">
        <f t="shared" si="14"/>
        <v>1</v>
      </c>
      <c r="I34" s="3">
        <v>3.65</v>
      </c>
      <c r="J34" s="3">
        <v>35.5</v>
      </c>
      <c r="K34" s="3">
        <f t="shared" si="16"/>
        <v>479</v>
      </c>
      <c r="L34" s="3">
        <v>0.06</v>
      </c>
      <c r="M34" s="4">
        <v>1.2</v>
      </c>
      <c r="N34" s="3">
        <v>9.81</v>
      </c>
      <c r="O34" s="15"/>
      <c r="P34" s="9" t="s">
        <v>15</v>
      </c>
      <c r="Q34" s="9">
        <v>44</v>
      </c>
      <c r="R34" s="12">
        <f t="shared" si="17"/>
        <v>523</v>
      </c>
      <c r="S34" s="12">
        <v>3</v>
      </c>
      <c r="T34" s="12">
        <f t="shared" si="13"/>
        <v>30</v>
      </c>
    </row>
    <row r="35" spans="2:20" x14ac:dyDescent="0.25">
      <c r="B35" s="6" t="s">
        <v>40</v>
      </c>
      <c r="C35" s="6" t="s">
        <v>45</v>
      </c>
      <c r="F35" s="3" t="s">
        <v>15</v>
      </c>
      <c r="G35" s="3">
        <v>2</v>
      </c>
      <c r="H35" s="4">
        <f t="shared" si="14"/>
        <v>3</v>
      </c>
      <c r="I35" s="3">
        <v>3.65</v>
      </c>
      <c r="J35" s="3">
        <v>44</v>
      </c>
      <c r="K35" s="3">
        <f t="shared" si="16"/>
        <v>523</v>
      </c>
      <c r="L35" s="3">
        <v>0.06</v>
      </c>
      <c r="M35" s="4">
        <v>1.2</v>
      </c>
      <c r="N35" s="3">
        <v>9.81</v>
      </c>
      <c r="O35" s="15"/>
      <c r="P35" s="9" t="s">
        <v>16</v>
      </c>
      <c r="Q35" s="9">
        <v>58</v>
      </c>
      <c r="R35" s="12">
        <f t="shared" si="17"/>
        <v>581</v>
      </c>
      <c r="S35" s="12">
        <v>4</v>
      </c>
      <c r="T35" s="12">
        <f t="shared" si="13"/>
        <v>34</v>
      </c>
    </row>
    <row r="36" spans="2:20" x14ac:dyDescent="0.25">
      <c r="B36" s="6" t="s">
        <v>43</v>
      </c>
      <c r="C36" s="6" t="s">
        <v>44</v>
      </c>
      <c r="F36" s="3" t="s">
        <v>16</v>
      </c>
      <c r="G36" s="3">
        <v>2.5</v>
      </c>
      <c r="H36" s="4">
        <f t="shared" si="14"/>
        <v>5.5</v>
      </c>
      <c r="I36" s="3">
        <v>3.65</v>
      </c>
      <c r="J36" s="3">
        <v>58</v>
      </c>
      <c r="K36" s="3">
        <f t="shared" si="16"/>
        <v>581</v>
      </c>
      <c r="L36" s="3">
        <v>0.06</v>
      </c>
      <c r="M36" s="4">
        <v>1.2</v>
      </c>
      <c r="N36" s="3">
        <v>9.81</v>
      </c>
      <c r="O36" s="15"/>
      <c r="P36" s="9" t="s">
        <v>17</v>
      </c>
      <c r="Q36" s="9">
        <v>40</v>
      </c>
      <c r="R36" s="12">
        <f t="shared" si="17"/>
        <v>621</v>
      </c>
      <c r="S36" s="12">
        <v>3</v>
      </c>
      <c r="T36" s="12">
        <f t="shared" si="13"/>
        <v>37</v>
      </c>
    </row>
    <row r="37" spans="2:20" x14ac:dyDescent="0.25">
      <c r="B37" s="6" t="s">
        <v>46</v>
      </c>
      <c r="C37" s="6" t="s">
        <v>47</v>
      </c>
      <c r="F37" s="3" t="s">
        <v>17</v>
      </c>
      <c r="G37" s="3">
        <v>1.5</v>
      </c>
      <c r="H37" s="4">
        <f t="shared" si="14"/>
        <v>7</v>
      </c>
      <c r="I37" s="3">
        <v>3.65</v>
      </c>
      <c r="J37" s="3">
        <v>40</v>
      </c>
      <c r="K37" s="3">
        <f t="shared" si="16"/>
        <v>621</v>
      </c>
      <c r="L37" s="3">
        <v>0.06</v>
      </c>
      <c r="M37" s="4">
        <v>1.2</v>
      </c>
      <c r="N37" s="3">
        <v>9.81</v>
      </c>
      <c r="O37" s="15"/>
      <c r="P37" s="9" t="s">
        <v>18</v>
      </c>
      <c r="Q37" s="9">
        <v>68</v>
      </c>
      <c r="R37" s="12">
        <f t="shared" si="17"/>
        <v>689</v>
      </c>
      <c r="S37" s="12">
        <v>5</v>
      </c>
      <c r="T37" s="12">
        <f t="shared" si="13"/>
        <v>42</v>
      </c>
    </row>
    <row r="38" spans="2:20" x14ac:dyDescent="0.25">
      <c r="B38" s="6" t="s">
        <v>48</v>
      </c>
      <c r="C38" s="6" t="s">
        <v>49</v>
      </c>
      <c r="F38" s="3" t="s">
        <v>18</v>
      </c>
      <c r="G38" s="3">
        <v>2</v>
      </c>
      <c r="H38" s="4">
        <f t="shared" si="14"/>
        <v>9</v>
      </c>
      <c r="I38" s="3">
        <v>3.65</v>
      </c>
      <c r="J38" s="3">
        <v>68</v>
      </c>
      <c r="K38" s="3">
        <f t="shared" si="16"/>
        <v>689</v>
      </c>
      <c r="L38" s="3">
        <v>0.06</v>
      </c>
      <c r="M38" s="4">
        <v>1.2</v>
      </c>
      <c r="N38" s="3">
        <v>9.81</v>
      </c>
      <c r="O38" s="15"/>
      <c r="P38" s="9" t="s">
        <v>19</v>
      </c>
      <c r="Q38" s="9">
        <v>31</v>
      </c>
      <c r="R38" s="12">
        <f t="shared" si="17"/>
        <v>720</v>
      </c>
      <c r="S38" s="12">
        <v>2</v>
      </c>
      <c r="T38" s="12">
        <f t="shared" si="13"/>
        <v>44</v>
      </c>
    </row>
    <row r="39" spans="2:20" x14ac:dyDescent="0.25">
      <c r="B39" s="6" t="s">
        <v>50</v>
      </c>
      <c r="C39" s="6" t="s">
        <v>51</v>
      </c>
      <c r="F39" s="3" t="s">
        <v>19</v>
      </c>
      <c r="G39" s="3">
        <v>3</v>
      </c>
      <c r="H39" s="4">
        <f t="shared" si="14"/>
        <v>12</v>
      </c>
      <c r="I39" s="3">
        <v>3.65</v>
      </c>
      <c r="J39" s="3">
        <v>31</v>
      </c>
      <c r="K39" s="3">
        <f t="shared" si="16"/>
        <v>720</v>
      </c>
      <c r="L39" s="3">
        <v>0.06</v>
      </c>
      <c r="M39" s="4">
        <v>1.2</v>
      </c>
      <c r="N39" s="3">
        <v>9.81</v>
      </c>
      <c r="O39" s="15"/>
      <c r="P39" s="9" t="s">
        <v>20</v>
      </c>
      <c r="Q39" s="9">
        <v>20</v>
      </c>
      <c r="R39" s="12">
        <f t="shared" si="17"/>
        <v>740</v>
      </c>
      <c r="S39" s="12">
        <v>2</v>
      </c>
      <c r="T39" s="12">
        <f t="shared" si="13"/>
        <v>46</v>
      </c>
    </row>
    <row r="40" spans="2:20" x14ac:dyDescent="0.25">
      <c r="B40" s="6" t="s">
        <v>52</v>
      </c>
      <c r="C40" s="6" t="s">
        <v>53</v>
      </c>
      <c r="F40" s="3" t="s">
        <v>20</v>
      </c>
      <c r="G40" s="3">
        <v>2</v>
      </c>
      <c r="H40" s="4">
        <f t="shared" si="14"/>
        <v>14</v>
      </c>
      <c r="I40" s="3">
        <v>3.65</v>
      </c>
      <c r="J40" s="3">
        <v>20</v>
      </c>
      <c r="K40" s="3">
        <f t="shared" si="16"/>
        <v>740</v>
      </c>
      <c r="L40" s="3">
        <v>0.06</v>
      </c>
      <c r="M40" s="4">
        <v>1.2</v>
      </c>
      <c r="N40" s="3">
        <v>9.81</v>
      </c>
      <c r="O40" s="15"/>
      <c r="P40" s="9" t="s">
        <v>21</v>
      </c>
      <c r="Q40" s="9">
        <v>80</v>
      </c>
      <c r="R40" s="12">
        <f t="shared" si="17"/>
        <v>820</v>
      </c>
      <c r="S40" s="12">
        <v>5</v>
      </c>
      <c r="T40" s="12">
        <f t="shared" si="13"/>
        <v>51</v>
      </c>
    </row>
    <row r="41" spans="2:20" x14ac:dyDescent="0.25">
      <c r="B41" s="6" t="s">
        <v>60</v>
      </c>
      <c r="C41" s="6">
        <v>2620</v>
      </c>
      <c r="F41" s="3" t="s">
        <v>21</v>
      </c>
      <c r="G41" s="3">
        <v>-2</v>
      </c>
      <c r="H41" s="4">
        <f t="shared" si="14"/>
        <v>12</v>
      </c>
      <c r="I41" s="3">
        <v>-3.65</v>
      </c>
      <c r="J41" s="3">
        <v>80</v>
      </c>
      <c r="K41" s="3">
        <f t="shared" si="16"/>
        <v>820</v>
      </c>
      <c r="L41" s="3">
        <v>0.06</v>
      </c>
      <c r="M41" s="4">
        <v>1.2</v>
      </c>
      <c r="N41" s="3">
        <v>9.81</v>
      </c>
      <c r="O41" s="15"/>
      <c r="P41" s="9" t="s">
        <v>22</v>
      </c>
      <c r="Q41" s="9">
        <v>180</v>
      </c>
      <c r="R41" s="12">
        <f t="shared" si="17"/>
        <v>1000</v>
      </c>
      <c r="S41" s="12">
        <v>7</v>
      </c>
      <c r="T41" s="12">
        <f t="shared" si="13"/>
        <v>58</v>
      </c>
    </row>
    <row r="42" spans="2:20" x14ac:dyDescent="0.25">
      <c r="B42" s="6" t="s">
        <v>59</v>
      </c>
      <c r="C42" s="6">
        <v>1650</v>
      </c>
      <c r="F42" s="3" t="s">
        <v>22</v>
      </c>
      <c r="G42" s="3">
        <v>-12</v>
      </c>
      <c r="H42" s="4">
        <f t="shared" si="14"/>
        <v>0</v>
      </c>
      <c r="I42" s="3">
        <v>-3.65</v>
      </c>
      <c r="J42" s="3">
        <v>180</v>
      </c>
      <c r="K42" s="3">
        <f t="shared" si="16"/>
        <v>1000</v>
      </c>
      <c r="L42" s="3">
        <v>0.06</v>
      </c>
      <c r="M42" s="4">
        <v>1.2</v>
      </c>
      <c r="N42" s="3">
        <v>9.81</v>
      </c>
      <c r="O42" s="15"/>
    </row>
    <row r="43" spans="2:20" x14ac:dyDescent="0.25">
      <c r="B43" s="6" t="s">
        <v>61</v>
      </c>
      <c r="C43" s="6">
        <v>1620</v>
      </c>
      <c r="G43" s="4">
        <f>F43</f>
        <v>0</v>
      </c>
      <c r="O43" s="21"/>
    </row>
    <row r="44" spans="2:20" x14ac:dyDescent="0.25">
      <c r="B44" s="6" t="s">
        <v>55</v>
      </c>
      <c r="C44" s="6" t="s">
        <v>67</v>
      </c>
      <c r="D44" s="6">
        <v>63.5</v>
      </c>
    </row>
    <row r="45" spans="2:20" x14ac:dyDescent="0.25">
      <c r="B45" s="6" t="s">
        <v>56</v>
      </c>
      <c r="C45" s="6" t="s">
        <v>57</v>
      </c>
      <c r="D45" s="6">
        <v>63.5</v>
      </c>
    </row>
    <row r="46" spans="2:20" x14ac:dyDescent="0.25">
      <c r="B46" s="6" t="s">
        <v>58</v>
      </c>
      <c r="C46" s="6">
        <f>45/1.341</f>
        <v>33.557046979865774</v>
      </c>
    </row>
    <row r="47" spans="2:20" x14ac:dyDescent="0.25">
      <c r="B47" s="6" t="s">
        <v>102</v>
      </c>
      <c r="C47" s="6">
        <v>0.38</v>
      </c>
    </row>
    <row r="51" spans="2:20" x14ac:dyDescent="0.25">
      <c r="B51" s="64" t="s">
        <v>91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2:20" x14ac:dyDescent="0.25">
      <c r="B52" s="27" t="s">
        <v>83</v>
      </c>
      <c r="C52" s="27" t="s">
        <v>70</v>
      </c>
      <c r="D52" s="28" t="s">
        <v>109</v>
      </c>
      <c r="E52" s="27" t="s">
        <v>69</v>
      </c>
      <c r="F52" s="27" t="s">
        <v>110</v>
      </c>
      <c r="G52" s="27" t="s">
        <v>72</v>
      </c>
      <c r="H52" s="27" t="s">
        <v>82</v>
      </c>
      <c r="I52" s="27" t="s">
        <v>80</v>
      </c>
      <c r="J52" s="27" t="s">
        <v>73</v>
      </c>
      <c r="K52" s="27" t="s">
        <v>75</v>
      </c>
      <c r="L52" s="27" t="s">
        <v>77</v>
      </c>
      <c r="M52" s="29" t="s">
        <v>114</v>
      </c>
      <c r="N52" s="27" t="s">
        <v>78</v>
      </c>
      <c r="O52" s="27" t="s">
        <v>79</v>
      </c>
      <c r="P52" s="27" t="s">
        <v>79</v>
      </c>
      <c r="Q52" s="27" t="s">
        <v>92</v>
      </c>
      <c r="R52" s="27" t="s">
        <v>92</v>
      </c>
      <c r="S52" s="27" t="s">
        <v>113</v>
      </c>
      <c r="T52" s="27" t="s">
        <v>100</v>
      </c>
    </row>
    <row r="53" spans="2:20" x14ac:dyDescent="0.25">
      <c r="B53" s="30" t="s">
        <v>71</v>
      </c>
      <c r="C53" s="30">
        <v>0</v>
      </c>
      <c r="D53" s="31">
        <f>C53</f>
        <v>0</v>
      </c>
      <c r="E53" s="30">
        <v>0</v>
      </c>
      <c r="F53" s="31">
        <f>E53</f>
        <v>0</v>
      </c>
      <c r="G53" s="30">
        <v>0</v>
      </c>
      <c r="H53" s="31">
        <f>0</f>
        <v>0</v>
      </c>
      <c r="I53" s="32">
        <f>(9.81/100)*H53</f>
        <v>0</v>
      </c>
      <c r="J53" s="31">
        <f>$C$26*N26*L26</f>
        <v>0</v>
      </c>
      <c r="K53" s="30">
        <v>0</v>
      </c>
      <c r="L53" s="30">
        <v>0</v>
      </c>
      <c r="M53" s="31">
        <f>0</f>
        <v>0</v>
      </c>
      <c r="N53" s="30">
        <f>J53+K53+L53</f>
        <v>0</v>
      </c>
      <c r="O53" s="30">
        <f t="shared" ref="O53:O84" si="18">N53*H53</f>
        <v>0</v>
      </c>
      <c r="P53" s="30">
        <v>0</v>
      </c>
      <c r="Q53" s="30">
        <f t="shared" ref="Q53:Q104" si="19">33557.0469798658-O53</f>
        <v>33557.046979865801</v>
      </c>
      <c r="R53" s="30">
        <v>33557.046979865801</v>
      </c>
      <c r="S53" s="31">
        <f>0</f>
        <v>0</v>
      </c>
      <c r="T53" s="31">
        <f t="shared" ref="T53:T104" si="20">O53+Q53</f>
        <v>33557.046979865801</v>
      </c>
    </row>
    <row r="54" spans="2:20" x14ac:dyDescent="0.25">
      <c r="B54" s="30" t="s">
        <v>7</v>
      </c>
      <c r="C54" s="33">
        <v>3</v>
      </c>
      <c r="D54" s="30">
        <f>C54+D53</f>
        <v>3</v>
      </c>
      <c r="E54" s="34">
        <v>1</v>
      </c>
      <c r="F54" s="31">
        <v>1</v>
      </c>
      <c r="G54" s="35">
        <f>C54/E54</f>
        <v>3</v>
      </c>
      <c r="H54" s="31">
        <f>(G54-G53)/E54</f>
        <v>3</v>
      </c>
      <c r="I54" s="32">
        <f>(9.81/100)*H54</f>
        <v>0.29430000000000001</v>
      </c>
      <c r="J54" s="31">
        <f>$C$26*N27*L27</f>
        <v>313.72380000000004</v>
      </c>
      <c r="K54" s="31">
        <f>0.5*$C$27*$C$47*$M$27*(G54*G54)</f>
        <v>3.8394971999999994</v>
      </c>
      <c r="L54" s="36">
        <f>$C$26*9.81*+SIN($I$27)</f>
        <v>2545.2759534255151</v>
      </c>
      <c r="M54" s="31">
        <f>H54*$C$26</f>
        <v>1599</v>
      </c>
      <c r="N54" s="36">
        <f>J54+K54+L54+M54</f>
        <v>4461.839250625515</v>
      </c>
      <c r="O54" s="36">
        <f>N54*H54</f>
        <v>13385.517751876545</v>
      </c>
      <c r="P54" s="36">
        <v>13385.517751876545</v>
      </c>
      <c r="Q54" s="36">
        <f>33557.0469798658-O54</f>
        <v>20171.529227989256</v>
      </c>
      <c r="R54" s="36">
        <v>24959.529227989256</v>
      </c>
      <c r="S54" s="36">
        <f t="shared" ref="S54:S85" si="21">O54/E54</f>
        <v>13385.517751876545</v>
      </c>
      <c r="T54" s="31">
        <f t="shared" si="20"/>
        <v>33557.046979865801</v>
      </c>
    </row>
    <row r="55" spans="2:20" x14ac:dyDescent="0.25">
      <c r="B55" s="30" t="s">
        <v>7</v>
      </c>
      <c r="C55" s="33">
        <v>6</v>
      </c>
      <c r="D55" s="30">
        <f t="shared" ref="D55:D68" si="22">C55+D54</f>
        <v>9</v>
      </c>
      <c r="E55" s="34">
        <v>1</v>
      </c>
      <c r="F55" s="31">
        <v>2</v>
      </c>
      <c r="G55" s="35">
        <f t="shared" ref="G55:G59" si="23">C55/E55</f>
        <v>6</v>
      </c>
      <c r="H55" s="31">
        <f t="shared" ref="H55:H104" si="24">(G55-G54)/E55</f>
        <v>3</v>
      </c>
      <c r="I55" s="32">
        <f t="shared" ref="I55:I93" si="25">(9.81/100)*H55</f>
        <v>0.29430000000000001</v>
      </c>
      <c r="J55" s="31">
        <f t="shared" ref="J55:J65" si="26">$C$26*N28*L28</f>
        <v>313.72380000000004</v>
      </c>
      <c r="K55" s="31">
        <f t="shared" ref="K55:K104" si="27">0.5*$C$27*$C$47*$M$27*(G55*G55)</f>
        <v>15.357988799999998</v>
      </c>
      <c r="L55" s="36">
        <f t="shared" ref="L55:L66" si="28">$C$26*9.81*+SIN($I$27)</f>
        <v>2545.2759534255151</v>
      </c>
      <c r="M55" s="31">
        <f t="shared" ref="M55:M104" si="29">H55*$C$26</f>
        <v>1599</v>
      </c>
      <c r="N55" s="36">
        <f t="shared" ref="N55:N104" si="30">J55+K55+L55+M55</f>
        <v>4473.3577422255148</v>
      </c>
      <c r="O55" s="36">
        <f t="shared" si="18"/>
        <v>13420.073226676544</v>
      </c>
      <c r="P55" s="36">
        <v>13420.073226676544</v>
      </c>
      <c r="Q55" s="36">
        <f t="shared" si="19"/>
        <v>20136.973753189257</v>
      </c>
      <c r="R55" s="36">
        <v>24924.973753189253</v>
      </c>
      <c r="S55" s="36">
        <f t="shared" si="21"/>
        <v>13420.073226676544</v>
      </c>
      <c r="T55" s="31">
        <f t="shared" si="20"/>
        <v>33557.046979865801</v>
      </c>
    </row>
    <row r="56" spans="2:20" x14ac:dyDescent="0.25">
      <c r="B56" s="30" t="s">
        <v>7</v>
      </c>
      <c r="C56" s="33">
        <v>9</v>
      </c>
      <c r="D56" s="30">
        <f t="shared" si="22"/>
        <v>18</v>
      </c>
      <c r="E56" s="34">
        <v>1</v>
      </c>
      <c r="F56" s="31">
        <v>3</v>
      </c>
      <c r="G56" s="35">
        <f t="shared" si="23"/>
        <v>9</v>
      </c>
      <c r="H56" s="31">
        <f t="shared" si="24"/>
        <v>3</v>
      </c>
      <c r="I56" s="32">
        <f t="shared" si="25"/>
        <v>0.29430000000000001</v>
      </c>
      <c r="J56" s="31">
        <f t="shared" si="26"/>
        <v>313.72380000000004</v>
      </c>
      <c r="K56" s="31">
        <f t="shared" si="27"/>
        <v>34.555474799999999</v>
      </c>
      <c r="L56" s="36">
        <f t="shared" si="28"/>
        <v>2545.2759534255151</v>
      </c>
      <c r="M56" s="31">
        <f t="shared" si="29"/>
        <v>1599</v>
      </c>
      <c r="N56" s="36">
        <f t="shared" si="30"/>
        <v>4492.5552282255157</v>
      </c>
      <c r="O56" s="36">
        <f t="shared" si="18"/>
        <v>13477.665684676547</v>
      </c>
      <c r="P56" s="36">
        <v>13477.665684676547</v>
      </c>
      <c r="Q56" s="36">
        <f t="shared" si="19"/>
        <v>20079.381295189254</v>
      </c>
      <c r="R56" s="36">
        <v>24867.381295189254</v>
      </c>
      <c r="S56" s="36">
        <f t="shared" si="21"/>
        <v>13477.665684676547</v>
      </c>
      <c r="T56" s="31">
        <f t="shared" si="20"/>
        <v>33557.046979865801</v>
      </c>
    </row>
    <row r="57" spans="2:20" x14ac:dyDescent="0.25">
      <c r="B57" s="30" t="s">
        <v>7</v>
      </c>
      <c r="C57" s="33">
        <v>12</v>
      </c>
      <c r="D57" s="30">
        <f t="shared" si="22"/>
        <v>30</v>
      </c>
      <c r="E57" s="34">
        <v>1</v>
      </c>
      <c r="F57" s="31">
        <v>4</v>
      </c>
      <c r="G57" s="35">
        <f t="shared" si="23"/>
        <v>12</v>
      </c>
      <c r="H57" s="31">
        <f t="shared" si="24"/>
        <v>3</v>
      </c>
      <c r="I57" s="32">
        <f t="shared" si="25"/>
        <v>0.29430000000000001</v>
      </c>
      <c r="J57" s="31">
        <f t="shared" si="26"/>
        <v>313.72380000000004</v>
      </c>
      <c r="K57" s="31">
        <f t="shared" si="27"/>
        <v>61.43195519999999</v>
      </c>
      <c r="L57" s="36">
        <f t="shared" si="28"/>
        <v>2545.2759534255151</v>
      </c>
      <c r="M57" s="31">
        <f t="shared" si="29"/>
        <v>1599</v>
      </c>
      <c r="N57" s="36">
        <f t="shared" si="30"/>
        <v>4519.4317086255151</v>
      </c>
      <c r="O57" s="36">
        <f t="shared" si="18"/>
        <v>13558.295125876546</v>
      </c>
      <c r="P57" s="36">
        <v>13558.295125876546</v>
      </c>
      <c r="Q57" s="36">
        <f t="shared" si="19"/>
        <v>19998.751853989255</v>
      </c>
      <c r="R57" s="36">
        <v>24786.751853989255</v>
      </c>
      <c r="S57" s="36">
        <f t="shared" si="21"/>
        <v>13558.295125876546</v>
      </c>
      <c r="T57" s="31">
        <f t="shared" si="20"/>
        <v>33557.046979865801</v>
      </c>
    </row>
    <row r="58" spans="2:20" x14ac:dyDescent="0.25">
      <c r="B58" s="30" t="s">
        <v>7</v>
      </c>
      <c r="C58" s="33">
        <v>15</v>
      </c>
      <c r="D58" s="30">
        <f t="shared" si="22"/>
        <v>45</v>
      </c>
      <c r="E58" s="34">
        <v>1</v>
      </c>
      <c r="F58" s="31">
        <v>5</v>
      </c>
      <c r="G58" s="35">
        <f t="shared" si="23"/>
        <v>15</v>
      </c>
      <c r="H58" s="31">
        <f t="shared" si="24"/>
        <v>3</v>
      </c>
      <c r="I58" s="32">
        <f t="shared" si="25"/>
        <v>0.29430000000000001</v>
      </c>
      <c r="J58" s="31">
        <f t="shared" si="26"/>
        <v>313.72380000000004</v>
      </c>
      <c r="K58" s="31">
        <f t="shared" si="27"/>
        <v>95.987429999999989</v>
      </c>
      <c r="L58" s="36">
        <f t="shared" si="28"/>
        <v>2545.2759534255151</v>
      </c>
      <c r="M58" s="31">
        <f t="shared" si="29"/>
        <v>1599</v>
      </c>
      <c r="N58" s="36">
        <f t="shared" si="30"/>
        <v>4553.9871834255155</v>
      </c>
      <c r="O58" s="36">
        <f t="shared" si="18"/>
        <v>13661.961550276546</v>
      </c>
      <c r="P58" s="36">
        <v>13661.961550276546</v>
      </c>
      <c r="Q58" s="36">
        <f t="shared" si="19"/>
        <v>19895.085429589257</v>
      </c>
      <c r="R58" s="36">
        <v>24683.085429589257</v>
      </c>
      <c r="S58" s="36">
        <f t="shared" si="21"/>
        <v>13661.961550276546</v>
      </c>
      <c r="T58" s="31">
        <f t="shared" si="20"/>
        <v>33557.046979865801</v>
      </c>
    </row>
    <row r="59" spans="2:20" x14ac:dyDescent="0.25">
      <c r="B59" s="30" t="s">
        <v>7</v>
      </c>
      <c r="C59" s="33">
        <v>18</v>
      </c>
      <c r="D59" s="30">
        <f t="shared" si="22"/>
        <v>63</v>
      </c>
      <c r="E59" s="34">
        <v>1</v>
      </c>
      <c r="F59" s="31">
        <v>6</v>
      </c>
      <c r="G59" s="35">
        <f t="shared" si="23"/>
        <v>18</v>
      </c>
      <c r="H59" s="31">
        <f t="shared" si="24"/>
        <v>3</v>
      </c>
      <c r="I59" s="32">
        <f t="shared" si="25"/>
        <v>0.29430000000000001</v>
      </c>
      <c r="J59" s="31">
        <f t="shared" si="26"/>
        <v>313.72380000000004</v>
      </c>
      <c r="K59" s="31">
        <f t="shared" si="27"/>
        <v>138.2218992</v>
      </c>
      <c r="L59" s="36">
        <f t="shared" si="28"/>
        <v>2545.2759534255151</v>
      </c>
      <c r="M59" s="31">
        <f t="shared" si="29"/>
        <v>1599</v>
      </c>
      <c r="N59" s="36">
        <f t="shared" si="30"/>
        <v>4596.2216526255152</v>
      </c>
      <c r="O59" s="36">
        <f t="shared" si="18"/>
        <v>13788.664957876546</v>
      </c>
      <c r="P59" s="36">
        <v>13788.664957876546</v>
      </c>
      <c r="Q59" s="36">
        <f t="shared" si="19"/>
        <v>19768.382021989255</v>
      </c>
      <c r="R59" s="36">
        <v>24556.382021989255</v>
      </c>
      <c r="S59" s="36">
        <f t="shared" si="21"/>
        <v>13788.664957876546</v>
      </c>
      <c r="T59" s="31">
        <f t="shared" si="20"/>
        <v>33557.046979865801</v>
      </c>
    </row>
    <row r="60" spans="2:20" x14ac:dyDescent="0.25">
      <c r="B60" s="30" t="s">
        <v>7</v>
      </c>
      <c r="C60" s="33">
        <v>21</v>
      </c>
      <c r="D60" s="30">
        <f t="shared" si="22"/>
        <v>84</v>
      </c>
      <c r="E60" s="34">
        <v>1</v>
      </c>
      <c r="F60" s="31">
        <f>E60+F59</f>
        <v>7</v>
      </c>
      <c r="G60" s="35">
        <f>C60/E60</f>
        <v>21</v>
      </c>
      <c r="H60" s="31">
        <f t="shared" si="24"/>
        <v>3</v>
      </c>
      <c r="I60" s="32">
        <f t="shared" si="25"/>
        <v>0.29430000000000001</v>
      </c>
      <c r="J60" s="31">
        <f t="shared" si="26"/>
        <v>313.72380000000004</v>
      </c>
      <c r="K60" s="31">
        <f t="shared" si="27"/>
        <v>188.13536279999997</v>
      </c>
      <c r="L60" s="36">
        <f t="shared" si="28"/>
        <v>2545.2759534255151</v>
      </c>
      <c r="M60" s="31">
        <f t="shared" si="29"/>
        <v>1599</v>
      </c>
      <c r="N60" s="36">
        <f t="shared" si="30"/>
        <v>4646.135116225515</v>
      </c>
      <c r="O60" s="36">
        <f t="shared" si="18"/>
        <v>13938.405348676544</v>
      </c>
      <c r="P60" s="36">
        <v>13938.405348676544</v>
      </c>
      <c r="Q60" s="36">
        <f t="shared" si="19"/>
        <v>19618.641631189257</v>
      </c>
      <c r="R60" s="36">
        <v>24406.641631189257</v>
      </c>
      <c r="S60" s="36">
        <f t="shared" si="21"/>
        <v>13938.405348676544</v>
      </c>
      <c r="T60" s="31">
        <f t="shared" si="20"/>
        <v>33557.046979865801</v>
      </c>
    </row>
    <row r="61" spans="2:20" x14ac:dyDescent="0.25">
      <c r="B61" s="30" t="s">
        <v>7</v>
      </c>
      <c r="C61" s="33">
        <v>23</v>
      </c>
      <c r="D61" s="30">
        <f t="shared" si="22"/>
        <v>107</v>
      </c>
      <c r="E61" s="34">
        <v>1</v>
      </c>
      <c r="F61" s="31">
        <f t="shared" ref="F61:F68" si="31">E61+F60</f>
        <v>8</v>
      </c>
      <c r="G61" s="35">
        <f>C61/E61</f>
        <v>23</v>
      </c>
      <c r="H61" s="31">
        <f t="shared" si="24"/>
        <v>2</v>
      </c>
      <c r="I61" s="32">
        <f t="shared" si="25"/>
        <v>0.19620000000000001</v>
      </c>
      <c r="J61" s="31">
        <f t="shared" si="26"/>
        <v>313.72380000000004</v>
      </c>
      <c r="K61" s="31">
        <f t="shared" si="27"/>
        <v>225.67711319999998</v>
      </c>
      <c r="L61" s="36">
        <f t="shared" si="28"/>
        <v>2545.2759534255151</v>
      </c>
      <c r="M61" s="31">
        <f t="shared" si="29"/>
        <v>1066</v>
      </c>
      <c r="N61" s="36">
        <f t="shared" si="30"/>
        <v>4150.6768666255157</v>
      </c>
      <c r="O61" s="36">
        <f t="shared" si="18"/>
        <v>8301.3537332510314</v>
      </c>
      <c r="P61" s="36">
        <v>8301.3537332510314</v>
      </c>
      <c r="Q61" s="36">
        <f t="shared" si="19"/>
        <v>25255.69324661477</v>
      </c>
      <c r="R61" s="36">
        <v>27383.69324661477</v>
      </c>
      <c r="S61" s="36">
        <f t="shared" si="21"/>
        <v>8301.3537332510314</v>
      </c>
      <c r="T61" s="31">
        <f t="shared" si="20"/>
        <v>33557.046979865801</v>
      </c>
    </row>
    <row r="62" spans="2:20" x14ac:dyDescent="0.25">
      <c r="B62" s="30" t="s">
        <v>7</v>
      </c>
      <c r="C62" s="33">
        <v>25</v>
      </c>
      <c r="D62" s="30">
        <f t="shared" si="22"/>
        <v>132</v>
      </c>
      <c r="E62" s="34">
        <v>1</v>
      </c>
      <c r="F62" s="31">
        <f t="shared" si="31"/>
        <v>9</v>
      </c>
      <c r="G62" s="35">
        <f>C62/E62</f>
        <v>25</v>
      </c>
      <c r="H62" s="31">
        <f t="shared" si="24"/>
        <v>2</v>
      </c>
      <c r="I62" s="32">
        <f t="shared" si="25"/>
        <v>0.19620000000000001</v>
      </c>
      <c r="J62" s="31">
        <f t="shared" si="26"/>
        <v>313.72380000000004</v>
      </c>
      <c r="K62" s="31">
        <f t="shared" si="27"/>
        <v>266.63174999999995</v>
      </c>
      <c r="L62" s="36">
        <f t="shared" si="28"/>
        <v>2545.2759534255151</v>
      </c>
      <c r="M62" s="31">
        <f t="shared" si="29"/>
        <v>1066</v>
      </c>
      <c r="N62" s="36">
        <f t="shared" si="30"/>
        <v>4191.6315034255149</v>
      </c>
      <c r="O62" s="36">
        <f t="shared" si="18"/>
        <v>8383.2630068510298</v>
      </c>
      <c r="P62" s="36">
        <v>8383.2630068510298</v>
      </c>
      <c r="Q62" s="36">
        <f t="shared" si="19"/>
        <v>25173.783973014772</v>
      </c>
      <c r="R62" s="36">
        <v>27301.783973014772</v>
      </c>
      <c r="S62" s="36">
        <f t="shared" si="21"/>
        <v>8383.2630068510298</v>
      </c>
      <c r="T62" s="31">
        <f t="shared" si="20"/>
        <v>33557.046979865801</v>
      </c>
    </row>
    <row r="63" spans="2:20" x14ac:dyDescent="0.25">
      <c r="B63" s="30" t="s">
        <v>7</v>
      </c>
      <c r="C63" s="33">
        <v>18</v>
      </c>
      <c r="D63" s="30">
        <f t="shared" si="22"/>
        <v>150</v>
      </c>
      <c r="E63" s="34">
        <v>1</v>
      </c>
      <c r="F63" s="31">
        <f t="shared" si="31"/>
        <v>10</v>
      </c>
      <c r="G63" s="35">
        <f>C63/E63</f>
        <v>18</v>
      </c>
      <c r="H63" s="31">
        <f t="shared" si="24"/>
        <v>-7</v>
      </c>
      <c r="I63" s="32">
        <f t="shared" si="25"/>
        <v>-0.68670000000000009</v>
      </c>
      <c r="J63" s="31">
        <f t="shared" si="26"/>
        <v>313.72380000000004</v>
      </c>
      <c r="K63" s="31">
        <f t="shared" si="27"/>
        <v>138.2218992</v>
      </c>
      <c r="L63" s="36">
        <f t="shared" si="28"/>
        <v>2545.2759534255151</v>
      </c>
      <c r="M63" s="31">
        <f t="shared" si="29"/>
        <v>-3731</v>
      </c>
      <c r="N63" s="36">
        <f t="shared" si="30"/>
        <v>-733.77834737448484</v>
      </c>
      <c r="O63" s="36">
        <f t="shared" si="18"/>
        <v>5136.4484316213939</v>
      </c>
      <c r="P63" s="36">
        <v>5136.4484316213939</v>
      </c>
      <c r="Q63" s="36">
        <f t="shared" si="19"/>
        <v>28420.598548244408</v>
      </c>
      <c r="R63" s="36">
        <v>54488.598548244408</v>
      </c>
      <c r="S63" s="36">
        <f t="shared" si="21"/>
        <v>5136.4484316213939</v>
      </c>
      <c r="T63" s="31">
        <f t="shared" si="20"/>
        <v>33557.046979865801</v>
      </c>
    </row>
    <row r="64" spans="2:20" x14ac:dyDescent="0.25">
      <c r="B64" s="37" t="s">
        <v>8</v>
      </c>
      <c r="C64" s="33">
        <v>20</v>
      </c>
      <c r="D64" s="30">
        <f t="shared" si="22"/>
        <v>170</v>
      </c>
      <c r="E64" s="34">
        <v>1</v>
      </c>
      <c r="F64" s="31">
        <f t="shared" si="31"/>
        <v>11</v>
      </c>
      <c r="G64" s="35">
        <f t="shared" ref="G64:G104" si="32">C64/E64</f>
        <v>20</v>
      </c>
      <c r="H64" s="31">
        <f t="shared" si="24"/>
        <v>2</v>
      </c>
      <c r="I64" s="32">
        <f t="shared" si="25"/>
        <v>0.19620000000000001</v>
      </c>
      <c r="J64" s="31">
        <f t="shared" si="26"/>
        <v>313.72380000000004</v>
      </c>
      <c r="K64" s="31">
        <f t="shared" si="27"/>
        <v>170.64431999999999</v>
      </c>
      <c r="L64" s="36">
        <f t="shared" si="28"/>
        <v>2545.2759534255151</v>
      </c>
      <c r="M64" s="31">
        <f t="shared" si="29"/>
        <v>1066</v>
      </c>
      <c r="N64" s="36">
        <f t="shared" si="30"/>
        <v>4095.6440734255152</v>
      </c>
      <c r="O64" s="36">
        <f t="shared" si="18"/>
        <v>8191.2881468510304</v>
      </c>
      <c r="P64" s="36">
        <v>8191.2881468510304</v>
      </c>
      <c r="Q64" s="36">
        <f t="shared" si="19"/>
        <v>25365.75883301477</v>
      </c>
      <c r="R64" s="36">
        <v>27493.75883301477</v>
      </c>
      <c r="S64" s="36">
        <f t="shared" si="21"/>
        <v>8191.2881468510304</v>
      </c>
      <c r="T64" s="31">
        <f t="shared" si="20"/>
        <v>33557.046979865801</v>
      </c>
    </row>
    <row r="65" spans="2:20" x14ac:dyDescent="0.25">
      <c r="B65" s="37" t="s">
        <v>8</v>
      </c>
      <c r="C65" s="33">
        <v>22</v>
      </c>
      <c r="D65" s="30">
        <f t="shared" si="22"/>
        <v>192</v>
      </c>
      <c r="E65" s="34">
        <v>1</v>
      </c>
      <c r="F65" s="31">
        <f t="shared" si="31"/>
        <v>12</v>
      </c>
      <c r="G65" s="35">
        <f t="shared" si="32"/>
        <v>22</v>
      </c>
      <c r="H65" s="31">
        <f t="shared" si="24"/>
        <v>2</v>
      </c>
      <c r="I65" s="32">
        <f t="shared" si="25"/>
        <v>0.19620000000000001</v>
      </c>
      <c r="J65" s="31">
        <f t="shared" si="26"/>
        <v>313.72380000000004</v>
      </c>
      <c r="K65" s="31">
        <f t="shared" si="27"/>
        <v>206.47962719999998</v>
      </c>
      <c r="L65" s="36">
        <f t="shared" si="28"/>
        <v>2545.2759534255151</v>
      </c>
      <c r="M65" s="31">
        <f t="shared" si="29"/>
        <v>1066</v>
      </c>
      <c r="N65" s="36">
        <f t="shared" si="30"/>
        <v>4131.4793806255148</v>
      </c>
      <c r="O65" s="36">
        <f t="shared" si="18"/>
        <v>8262.9587612510295</v>
      </c>
      <c r="P65" s="36">
        <v>8262.9587612510295</v>
      </c>
      <c r="Q65" s="36">
        <f t="shared" si="19"/>
        <v>25294.088218614772</v>
      </c>
      <c r="R65" s="36">
        <v>27422.088218614772</v>
      </c>
      <c r="S65" s="36">
        <f t="shared" si="21"/>
        <v>8262.9587612510295</v>
      </c>
      <c r="T65" s="31">
        <f t="shared" si="20"/>
        <v>33557.046979865801</v>
      </c>
    </row>
    <row r="66" spans="2:20" x14ac:dyDescent="0.25">
      <c r="B66" s="37" t="s">
        <v>8</v>
      </c>
      <c r="C66" s="30">
        <v>26</v>
      </c>
      <c r="D66" s="30">
        <f t="shared" si="22"/>
        <v>218</v>
      </c>
      <c r="E66" s="34">
        <v>1</v>
      </c>
      <c r="F66" s="31">
        <f t="shared" si="31"/>
        <v>13</v>
      </c>
      <c r="G66" s="35">
        <f t="shared" si="32"/>
        <v>26</v>
      </c>
      <c r="H66" s="31">
        <f t="shared" si="24"/>
        <v>4</v>
      </c>
      <c r="I66" s="32">
        <f t="shared" si="25"/>
        <v>0.39240000000000003</v>
      </c>
      <c r="J66" s="31">
        <f>$C$26*N28*L28</f>
        <v>313.72380000000004</v>
      </c>
      <c r="K66" s="31">
        <f t="shared" si="27"/>
        <v>288.38890079999999</v>
      </c>
      <c r="L66" s="36">
        <f t="shared" si="28"/>
        <v>2545.2759534255151</v>
      </c>
      <c r="M66" s="31">
        <f t="shared" si="29"/>
        <v>2132</v>
      </c>
      <c r="N66" s="36">
        <f t="shared" si="30"/>
        <v>5279.388654225515</v>
      </c>
      <c r="O66" s="36">
        <f t="shared" si="18"/>
        <v>21117.55461690206</v>
      </c>
      <c r="P66" s="36">
        <v>21117.55461690206</v>
      </c>
      <c r="Q66" s="36">
        <f t="shared" si="19"/>
        <v>12439.492362963741</v>
      </c>
      <c r="R66" s="36">
        <v>20951.492362963741</v>
      </c>
      <c r="S66" s="36">
        <f t="shared" si="21"/>
        <v>21117.55461690206</v>
      </c>
      <c r="T66" s="31">
        <f t="shared" si="20"/>
        <v>33557.046979865801</v>
      </c>
    </row>
    <row r="67" spans="2:20" x14ac:dyDescent="0.25">
      <c r="B67" s="30" t="s">
        <v>9</v>
      </c>
      <c r="C67" s="38">
        <v>28</v>
      </c>
      <c r="D67" s="30">
        <f t="shared" si="22"/>
        <v>246</v>
      </c>
      <c r="E67" s="34">
        <v>1</v>
      </c>
      <c r="F67" s="31">
        <f t="shared" si="31"/>
        <v>14</v>
      </c>
      <c r="G67" s="35">
        <f t="shared" si="32"/>
        <v>28</v>
      </c>
      <c r="H67" s="31">
        <f t="shared" si="24"/>
        <v>2</v>
      </c>
      <c r="I67" s="32">
        <f t="shared" si="25"/>
        <v>0.19620000000000001</v>
      </c>
      <c r="J67" s="31">
        <f>$C$26*N29*L29</f>
        <v>313.72380000000004</v>
      </c>
      <c r="K67" s="31">
        <f t="shared" si="27"/>
        <v>334.46286719999995</v>
      </c>
      <c r="L67" s="31">
        <f>$C$26*9.81*-SIN($I$29)</f>
        <v>2545.2759534255151</v>
      </c>
      <c r="M67" s="31">
        <f t="shared" si="29"/>
        <v>1066</v>
      </c>
      <c r="N67" s="30">
        <f t="shared" si="30"/>
        <v>4259.4626206255152</v>
      </c>
      <c r="O67" s="30">
        <f t="shared" si="18"/>
        <v>8518.9252412510305</v>
      </c>
      <c r="P67" s="30">
        <v>8518.9252412510305</v>
      </c>
      <c r="Q67" s="30">
        <f t="shared" si="19"/>
        <v>25038.121738614769</v>
      </c>
      <c r="R67" s="30">
        <v>27166.121738614769</v>
      </c>
      <c r="S67" s="31">
        <f t="shared" si="21"/>
        <v>8518.9252412510305</v>
      </c>
      <c r="T67" s="31">
        <f t="shared" si="20"/>
        <v>33557.046979865801</v>
      </c>
    </row>
    <row r="68" spans="2:20" x14ac:dyDescent="0.25">
      <c r="B68" s="30" t="s">
        <v>9</v>
      </c>
      <c r="C68" s="30">
        <v>26</v>
      </c>
      <c r="D68" s="30">
        <f t="shared" si="22"/>
        <v>272</v>
      </c>
      <c r="E68" s="34">
        <v>1</v>
      </c>
      <c r="F68" s="31">
        <f t="shared" si="31"/>
        <v>15</v>
      </c>
      <c r="G68" s="35">
        <f t="shared" si="32"/>
        <v>26</v>
      </c>
      <c r="H68" s="31">
        <f t="shared" si="24"/>
        <v>-2</v>
      </c>
      <c r="I68" s="32">
        <f t="shared" si="25"/>
        <v>-0.19620000000000001</v>
      </c>
      <c r="J68" s="31">
        <f>$C$26*N29*L29</f>
        <v>313.72380000000004</v>
      </c>
      <c r="K68" s="31">
        <f t="shared" si="27"/>
        <v>288.38890079999999</v>
      </c>
      <c r="L68" s="31">
        <f t="shared" ref="L68:L95" si="33">$C$26*9.81*-SIN($I$29)</f>
        <v>2545.2759534255151</v>
      </c>
      <c r="M68" s="31">
        <f t="shared" si="29"/>
        <v>-1066</v>
      </c>
      <c r="N68" s="30">
        <f t="shared" si="30"/>
        <v>2081.388654225515</v>
      </c>
      <c r="O68" s="30">
        <f t="shared" si="18"/>
        <v>-4162.77730845103</v>
      </c>
      <c r="P68" s="30">
        <v>-4162.77730845103</v>
      </c>
      <c r="Q68" s="30">
        <f t="shared" si="19"/>
        <v>37719.824288316828</v>
      </c>
      <c r="R68" s="30">
        <v>39847.824288316828</v>
      </c>
      <c r="S68" s="31">
        <f t="shared" si="21"/>
        <v>-4162.77730845103</v>
      </c>
      <c r="T68" s="31">
        <f t="shared" si="20"/>
        <v>33557.046979865801</v>
      </c>
    </row>
    <row r="69" spans="2:20" x14ac:dyDescent="0.25">
      <c r="B69" s="30" t="s">
        <v>10</v>
      </c>
      <c r="C69" s="30">
        <v>26</v>
      </c>
      <c r="D69" s="30">
        <f>C69+D68</f>
        <v>298</v>
      </c>
      <c r="E69" s="34">
        <v>1</v>
      </c>
      <c r="F69" s="31">
        <f>E69+F68</f>
        <v>16</v>
      </c>
      <c r="G69" s="35">
        <f t="shared" si="32"/>
        <v>26</v>
      </c>
      <c r="H69" s="31">
        <f t="shared" si="24"/>
        <v>0</v>
      </c>
      <c r="I69" s="32">
        <f t="shared" si="25"/>
        <v>0</v>
      </c>
      <c r="J69" s="31">
        <f t="shared" ref="J69:J70" si="34">$C$26*N30*L30</f>
        <v>313.72380000000004</v>
      </c>
      <c r="K69" s="31">
        <f t="shared" si="27"/>
        <v>288.38890079999999</v>
      </c>
      <c r="L69" s="31">
        <f t="shared" si="33"/>
        <v>2545.2759534255151</v>
      </c>
      <c r="M69" s="31">
        <f t="shared" si="29"/>
        <v>0</v>
      </c>
      <c r="N69" s="30">
        <f t="shared" si="30"/>
        <v>3147.388654225515</v>
      </c>
      <c r="O69" s="30">
        <f t="shared" si="18"/>
        <v>0</v>
      </c>
      <c r="P69" s="30">
        <v>0</v>
      </c>
      <c r="Q69" s="30">
        <f t="shared" si="19"/>
        <v>33557.046979865801</v>
      </c>
      <c r="R69" s="30">
        <v>33557.046979865801</v>
      </c>
      <c r="S69" s="31">
        <f t="shared" si="21"/>
        <v>0</v>
      </c>
      <c r="T69" s="31">
        <f t="shared" si="20"/>
        <v>33557.046979865801</v>
      </c>
    </row>
    <row r="70" spans="2:20" x14ac:dyDescent="0.25">
      <c r="B70" s="30" t="s">
        <v>10</v>
      </c>
      <c r="C70" s="30">
        <v>30</v>
      </c>
      <c r="D70" s="30">
        <f t="shared" ref="D70:D71" si="35">C70+D69</f>
        <v>328</v>
      </c>
      <c r="E70" s="34">
        <v>1</v>
      </c>
      <c r="F70" s="31">
        <f t="shared" ref="F70:F71" si="36">E70+F69</f>
        <v>17</v>
      </c>
      <c r="G70" s="35">
        <f t="shared" si="32"/>
        <v>30</v>
      </c>
      <c r="H70" s="31">
        <f t="shared" si="24"/>
        <v>4</v>
      </c>
      <c r="I70" s="32">
        <f t="shared" si="25"/>
        <v>0.39240000000000003</v>
      </c>
      <c r="J70" s="31">
        <f t="shared" si="34"/>
        <v>313.72380000000004</v>
      </c>
      <c r="K70" s="31">
        <f t="shared" si="27"/>
        <v>383.94971999999996</v>
      </c>
      <c r="L70" s="31">
        <f t="shared" si="33"/>
        <v>2545.2759534255151</v>
      </c>
      <c r="M70" s="31">
        <f t="shared" si="29"/>
        <v>2132</v>
      </c>
      <c r="N70" s="30">
        <f t="shared" si="30"/>
        <v>5374.949473425515</v>
      </c>
      <c r="O70" s="30">
        <f t="shared" si="18"/>
        <v>21499.79789370206</v>
      </c>
      <c r="P70" s="30">
        <v>21499.79789370206</v>
      </c>
      <c r="Q70" s="30">
        <f t="shared" si="19"/>
        <v>12057.249086163742</v>
      </c>
      <c r="R70" s="30">
        <v>20569.249086163742</v>
      </c>
      <c r="S70" s="31">
        <f t="shared" si="21"/>
        <v>21499.79789370206</v>
      </c>
      <c r="T70" s="31">
        <f t="shared" si="20"/>
        <v>33557.046979865801</v>
      </c>
    </row>
    <row r="71" spans="2:20" x14ac:dyDescent="0.25">
      <c r="B71" s="30" t="s">
        <v>10</v>
      </c>
      <c r="C71" s="30">
        <v>24</v>
      </c>
      <c r="D71" s="30">
        <f t="shared" si="35"/>
        <v>352</v>
      </c>
      <c r="E71" s="34">
        <v>1</v>
      </c>
      <c r="F71" s="31">
        <f t="shared" si="36"/>
        <v>18</v>
      </c>
      <c r="G71" s="35">
        <f t="shared" si="32"/>
        <v>24</v>
      </c>
      <c r="H71" s="31">
        <f t="shared" si="24"/>
        <v>-6</v>
      </c>
      <c r="I71" s="32">
        <f t="shared" si="25"/>
        <v>-0.58860000000000001</v>
      </c>
      <c r="J71" s="31">
        <f>$C$26*N30*L30</f>
        <v>313.72380000000004</v>
      </c>
      <c r="K71" s="31">
        <f t="shared" si="27"/>
        <v>245.72782079999996</v>
      </c>
      <c r="L71" s="31">
        <f t="shared" si="33"/>
        <v>2545.2759534255151</v>
      </c>
      <c r="M71" s="31">
        <f t="shared" si="29"/>
        <v>-3198</v>
      </c>
      <c r="N71" s="30">
        <f t="shared" si="30"/>
        <v>-93.272425774484873</v>
      </c>
      <c r="O71" s="30">
        <f t="shared" si="18"/>
        <v>559.63455464690924</v>
      </c>
      <c r="P71" s="30">
        <v>559.63455464690924</v>
      </c>
      <c r="Q71" s="30">
        <f t="shared" si="19"/>
        <v>32997.412425218892</v>
      </c>
      <c r="R71" s="30">
        <v>52149.412425218892</v>
      </c>
      <c r="S71" s="31">
        <f t="shared" si="21"/>
        <v>559.63455464690924</v>
      </c>
      <c r="T71" s="31">
        <f t="shared" si="20"/>
        <v>33557.046979865801</v>
      </c>
    </row>
    <row r="72" spans="2:20" x14ac:dyDescent="0.25">
      <c r="B72" s="30" t="s">
        <v>11</v>
      </c>
      <c r="C72" s="30">
        <v>18</v>
      </c>
      <c r="D72" s="30">
        <f t="shared" ref="D72:D91" si="37">C72+D71</f>
        <v>370</v>
      </c>
      <c r="E72" s="34">
        <v>1</v>
      </c>
      <c r="F72" s="31">
        <f t="shared" ref="F72:F91" si="38">E72+F71</f>
        <v>19</v>
      </c>
      <c r="G72" s="35">
        <f t="shared" si="32"/>
        <v>18</v>
      </c>
      <c r="H72" s="31">
        <f t="shared" si="24"/>
        <v>-6</v>
      </c>
      <c r="I72" s="32">
        <f t="shared" si="25"/>
        <v>-0.58860000000000001</v>
      </c>
      <c r="J72" s="31">
        <f>$C$26*N31*L31</f>
        <v>313.72380000000004</v>
      </c>
      <c r="K72" s="31">
        <f t="shared" si="27"/>
        <v>138.2218992</v>
      </c>
      <c r="L72" s="31">
        <f t="shared" si="33"/>
        <v>2545.2759534255151</v>
      </c>
      <c r="M72" s="31">
        <f t="shared" si="29"/>
        <v>-3198</v>
      </c>
      <c r="N72" s="30">
        <f t="shared" si="30"/>
        <v>-200.77834737448484</v>
      </c>
      <c r="O72" s="30">
        <f t="shared" si="18"/>
        <v>1204.670084246909</v>
      </c>
      <c r="P72" s="30">
        <v>1204.670084246909</v>
      </c>
      <c r="Q72" s="30">
        <f t="shared" si="19"/>
        <v>32352.376895618894</v>
      </c>
      <c r="R72" s="30">
        <v>51504.376895618894</v>
      </c>
      <c r="S72" s="31">
        <f t="shared" si="21"/>
        <v>1204.670084246909</v>
      </c>
      <c r="T72" s="31">
        <f t="shared" si="20"/>
        <v>33557.046979865801</v>
      </c>
    </row>
    <row r="73" spans="2:20" x14ac:dyDescent="0.25">
      <c r="B73" s="30" t="s">
        <v>11</v>
      </c>
      <c r="C73" s="30">
        <v>13</v>
      </c>
      <c r="D73" s="30">
        <f t="shared" si="37"/>
        <v>383</v>
      </c>
      <c r="E73" s="34">
        <v>1</v>
      </c>
      <c r="F73" s="31">
        <f t="shared" si="38"/>
        <v>20</v>
      </c>
      <c r="G73" s="35">
        <f t="shared" si="32"/>
        <v>13</v>
      </c>
      <c r="H73" s="31">
        <f t="shared" si="24"/>
        <v>-5</v>
      </c>
      <c r="I73" s="32">
        <f t="shared" si="25"/>
        <v>-0.49050000000000005</v>
      </c>
      <c r="J73" s="31">
        <f>$C$26*N31*L31</f>
        <v>313.72380000000004</v>
      </c>
      <c r="K73" s="31">
        <f t="shared" si="27"/>
        <v>72.097225199999997</v>
      </c>
      <c r="L73" s="31">
        <f t="shared" si="33"/>
        <v>2545.2759534255151</v>
      </c>
      <c r="M73" s="31">
        <f t="shared" si="29"/>
        <v>-2665</v>
      </c>
      <c r="N73" s="30">
        <f t="shared" si="30"/>
        <v>266.09697862551502</v>
      </c>
      <c r="O73" s="30">
        <f t="shared" si="18"/>
        <v>-1330.4848931275751</v>
      </c>
      <c r="P73" s="30">
        <v>-1330.4848931275751</v>
      </c>
      <c r="Q73" s="30">
        <f t="shared" si="19"/>
        <v>34887.531872993379</v>
      </c>
      <c r="R73" s="30">
        <v>48187.531872993379</v>
      </c>
      <c r="S73" s="31">
        <f t="shared" si="21"/>
        <v>-1330.4848931275751</v>
      </c>
      <c r="T73" s="31">
        <f t="shared" si="20"/>
        <v>33557.046979865801</v>
      </c>
    </row>
    <row r="74" spans="2:20" x14ac:dyDescent="0.25">
      <c r="B74" s="30" t="s">
        <v>12</v>
      </c>
      <c r="C74" s="30">
        <v>13</v>
      </c>
      <c r="D74" s="30">
        <f t="shared" si="37"/>
        <v>396</v>
      </c>
      <c r="E74" s="34">
        <v>1</v>
      </c>
      <c r="F74" s="31">
        <f t="shared" si="38"/>
        <v>21</v>
      </c>
      <c r="G74" s="35">
        <f t="shared" si="32"/>
        <v>13</v>
      </c>
      <c r="H74" s="31">
        <f t="shared" si="24"/>
        <v>0</v>
      </c>
      <c r="I74" s="32">
        <f t="shared" si="25"/>
        <v>0</v>
      </c>
      <c r="J74" s="31">
        <f>$C$26*N32*L32</f>
        <v>313.72380000000004</v>
      </c>
      <c r="K74" s="31">
        <f t="shared" si="27"/>
        <v>72.097225199999997</v>
      </c>
      <c r="L74" s="31">
        <f t="shared" si="33"/>
        <v>2545.2759534255151</v>
      </c>
      <c r="M74" s="31">
        <f t="shared" si="29"/>
        <v>0</v>
      </c>
      <c r="N74" s="30">
        <f t="shared" si="30"/>
        <v>2931.096978625515</v>
      </c>
      <c r="O74" s="30">
        <f t="shared" si="18"/>
        <v>0</v>
      </c>
      <c r="P74" s="30">
        <v>0</v>
      </c>
      <c r="Q74" s="30">
        <f t="shared" si="19"/>
        <v>33557.046979865801</v>
      </c>
      <c r="R74" s="30">
        <v>33557.046979865801</v>
      </c>
      <c r="S74" s="31">
        <f t="shared" si="21"/>
        <v>0</v>
      </c>
      <c r="T74" s="31">
        <f t="shared" si="20"/>
        <v>33557.046979865801</v>
      </c>
    </row>
    <row r="75" spans="2:20" x14ac:dyDescent="0.25">
      <c r="B75" s="30" t="s">
        <v>12</v>
      </c>
      <c r="C75" s="30">
        <v>16</v>
      </c>
      <c r="D75" s="30">
        <f t="shared" si="37"/>
        <v>412</v>
      </c>
      <c r="E75" s="34">
        <v>1</v>
      </c>
      <c r="F75" s="31">
        <f t="shared" si="38"/>
        <v>22</v>
      </c>
      <c r="G75" s="35">
        <f t="shared" si="32"/>
        <v>16</v>
      </c>
      <c r="H75" s="31">
        <f t="shared" si="24"/>
        <v>3</v>
      </c>
      <c r="I75" s="32">
        <f t="shared" si="25"/>
        <v>0.29430000000000001</v>
      </c>
      <c r="J75" s="31">
        <f>$C$26*N32*L32</f>
        <v>313.72380000000004</v>
      </c>
      <c r="K75" s="31">
        <f t="shared" si="27"/>
        <v>109.21236479999999</v>
      </c>
      <c r="L75" s="31">
        <f t="shared" si="33"/>
        <v>2545.2759534255151</v>
      </c>
      <c r="M75" s="31">
        <f t="shared" si="29"/>
        <v>1599</v>
      </c>
      <c r="N75" s="30">
        <f t="shared" si="30"/>
        <v>4567.212118225515</v>
      </c>
      <c r="O75" s="30">
        <f t="shared" si="18"/>
        <v>13701.636354676546</v>
      </c>
      <c r="P75" s="30">
        <v>13701.636354676546</v>
      </c>
      <c r="Q75" s="30">
        <f t="shared" si="19"/>
        <v>19855.410625189255</v>
      </c>
      <c r="R75" s="30">
        <v>24643.410625189255</v>
      </c>
      <c r="S75" s="31">
        <f t="shared" si="21"/>
        <v>13701.636354676546</v>
      </c>
      <c r="T75" s="31">
        <f t="shared" si="20"/>
        <v>33557.046979865801</v>
      </c>
    </row>
    <row r="76" spans="2:20" x14ac:dyDescent="0.25">
      <c r="B76" s="30" t="s">
        <v>13</v>
      </c>
      <c r="C76" s="30">
        <v>16</v>
      </c>
      <c r="D76" s="30">
        <f t="shared" si="37"/>
        <v>428</v>
      </c>
      <c r="E76" s="34">
        <v>1</v>
      </c>
      <c r="F76" s="31">
        <f t="shared" si="38"/>
        <v>23</v>
      </c>
      <c r="G76" s="35">
        <f t="shared" si="32"/>
        <v>16</v>
      </c>
      <c r="H76" s="31">
        <f t="shared" si="24"/>
        <v>0</v>
      </c>
      <c r="I76" s="32">
        <f t="shared" si="25"/>
        <v>0</v>
      </c>
      <c r="J76" s="31">
        <f>$C$26*N33*L33</f>
        <v>313.72380000000004</v>
      </c>
      <c r="K76" s="31">
        <f t="shared" si="27"/>
        <v>109.21236479999999</v>
      </c>
      <c r="L76" s="31">
        <f t="shared" si="33"/>
        <v>2545.2759534255151</v>
      </c>
      <c r="M76" s="31">
        <f t="shared" si="29"/>
        <v>0</v>
      </c>
      <c r="N76" s="30">
        <f t="shared" si="30"/>
        <v>2968.212118225515</v>
      </c>
      <c r="O76" s="30">
        <f t="shared" si="18"/>
        <v>0</v>
      </c>
      <c r="P76" s="30">
        <v>0</v>
      </c>
      <c r="Q76" s="30">
        <f t="shared" si="19"/>
        <v>33557.046979865801</v>
      </c>
      <c r="R76" s="30">
        <v>33557.046979865801</v>
      </c>
      <c r="S76" s="31">
        <f t="shared" si="21"/>
        <v>0</v>
      </c>
      <c r="T76" s="31">
        <f t="shared" si="20"/>
        <v>33557.046979865801</v>
      </c>
    </row>
    <row r="77" spans="2:20" x14ac:dyDescent="0.25">
      <c r="B77" s="30" t="s">
        <v>13</v>
      </c>
      <c r="C77" s="30">
        <v>16</v>
      </c>
      <c r="D77" s="30">
        <f t="shared" si="37"/>
        <v>444</v>
      </c>
      <c r="E77" s="34">
        <v>1</v>
      </c>
      <c r="F77" s="31">
        <f t="shared" si="38"/>
        <v>24</v>
      </c>
      <c r="G77" s="35">
        <f t="shared" si="32"/>
        <v>16</v>
      </c>
      <c r="H77" s="31">
        <f t="shared" si="24"/>
        <v>0</v>
      </c>
      <c r="I77" s="32">
        <f t="shared" si="25"/>
        <v>0</v>
      </c>
      <c r="J77" s="31">
        <f>$C$26*N33*L33</f>
        <v>313.72380000000004</v>
      </c>
      <c r="K77" s="31">
        <f t="shared" si="27"/>
        <v>109.21236479999999</v>
      </c>
      <c r="L77" s="31">
        <f t="shared" si="33"/>
        <v>2545.2759534255151</v>
      </c>
      <c r="M77" s="31">
        <f t="shared" si="29"/>
        <v>0</v>
      </c>
      <c r="N77" s="30">
        <f t="shared" si="30"/>
        <v>2968.212118225515</v>
      </c>
      <c r="O77" s="30">
        <f t="shared" si="18"/>
        <v>0</v>
      </c>
      <c r="P77" s="30">
        <v>0</v>
      </c>
      <c r="Q77" s="30">
        <f t="shared" si="19"/>
        <v>33557.046979865801</v>
      </c>
      <c r="R77" s="30">
        <v>33557.046979865801</v>
      </c>
      <c r="S77" s="31">
        <f t="shared" si="21"/>
        <v>0</v>
      </c>
      <c r="T77" s="31">
        <f t="shared" si="20"/>
        <v>33557.046979865801</v>
      </c>
    </row>
    <row r="78" spans="2:20" x14ac:dyDescent="0.25">
      <c r="B78" s="30" t="s">
        <v>14</v>
      </c>
      <c r="C78" s="30">
        <v>17</v>
      </c>
      <c r="D78" s="30">
        <f t="shared" si="37"/>
        <v>461</v>
      </c>
      <c r="E78" s="34">
        <v>1</v>
      </c>
      <c r="F78" s="31">
        <f t="shared" si="38"/>
        <v>25</v>
      </c>
      <c r="G78" s="35">
        <f t="shared" si="32"/>
        <v>17</v>
      </c>
      <c r="H78" s="31">
        <f t="shared" si="24"/>
        <v>1</v>
      </c>
      <c r="I78" s="32">
        <f t="shared" si="25"/>
        <v>9.8100000000000007E-2</v>
      </c>
      <c r="J78" s="31">
        <f>$C$26*N34*L34</f>
        <v>313.72380000000004</v>
      </c>
      <c r="K78" s="31">
        <f t="shared" si="27"/>
        <v>123.29052119999999</v>
      </c>
      <c r="L78" s="31">
        <f t="shared" si="33"/>
        <v>2545.2759534255151</v>
      </c>
      <c r="M78" s="31">
        <f t="shared" si="29"/>
        <v>533</v>
      </c>
      <c r="N78" s="30">
        <f t="shared" si="30"/>
        <v>3515.2902746255149</v>
      </c>
      <c r="O78" s="30">
        <f t="shared" si="18"/>
        <v>3515.2902746255149</v>
      </c>
      <c r="P78" s="30">
        <v>3515.2902746255149</v>
      </c>
      <c r="Q78" s="30">
        <f t="shared" si="19"/>
        <v>30041.756705240288</v>
      </c>
      <c r="R78" s="30">
        <v>30573.756705240288</v>
      </c>
      <c r="S78" s="31">
        <f t="shared" si="21"/>
        <v>3515.2902746255149</v>
      </c>
      <c r="T78" s="31">
        <f t="shared" si="20"/>
        <v>33557.046979865801</v>
      </c>
    </row>
    <row r="79" spans="2:20" x14ac:dyDescent="0.25">
      <c r="B79" s="30" t="s">
        <v>14</v>
      </c>
      <c r="C79" s="30">
        <v>17</v>
      </c>
      <c r="D79" s="30">
        <f t="shared" si="37"/>
        <v>478</v>
      </c>
      <c r="E79" s="34">
        <v>1</v>
      </c>
      <c r="F79" s="31">
        <f t="shared" si="38"/>
        <v>26</v>
      </c>
      <c r="G79" s="35">
        <f t="shared" si="32"/>
        <v>17</v>
      </c>
      <c r="H79" s="31">
        <f t="shared" si="24"/>
        <v>0</v>
      </c>
      <c r="I79" s="32">
        <f t="shared" si="25"/>
        <v>0</v>
      </c>
      <c r="J79" s="31">
        <f>$C$26*N34*L34</f>
        <v>313.72380000000004</v>
      </c>
      <c r="K79" s="31">
        <f t="shared" si="27"/>
        <v>123.29052119999999</v>
      </c>
      <c r="L79" s="31">
        <f t="shared" si="33"/>
        <v>2545.2759534255151</v>
      </c>
      <c r="M79" s="31">
        <f t="shared" si="29"/>
        <v>0</v>
      </c>
      <c r="N79" s="30">
        <f t="shared" si="30"/>
        <v>2982.2902746255149</v>
      </c>
      <c r="O79" s="30">
        <f t="shared" si="18"/>
        <v>0</v>
      </c>
      <c r="P79" s="30">
        <v>0</v>
      </c>
      <c r="Q79" s="30">
        <f t="shared" si="19"/>
        <v>33557.046979865801</v>
      </c>
      <c r="R79" s="30">
        <v>33557.046979865801</v>
      </c>
      <c r="S79" s="31">
        <f t="shared" si="21"/>
        <v>0</v>
      </c>
      <c r="T79" s="31">
        <f t="shared" si="20"/>
        <v>33557.046979865801</v>
      </c>
    </row>
    <row r="80" spans="2:20" x14ac:dyDescent="0.25">
      <c r="B80" s="30" t="s">
        <v>15</v>
      </c>
      <c r="C80" s="30">
        <v>15</v>
      </c>
      <c r="D80" s="30">
        <f t="shared" si="37"/>
        <v>493</v>
      </c>
      <c r="E80" s="34">
        <v>1</v>
      </c>
      <c r="F80" s="31">
        <f t="shared" si="38"/>
        <v>27</v>
      </c>
      <c r="G80" s="35">
        <f t="shared" si="32"/>
        <v>15</v>
      </c>
      <c r="H80" s="31">
        <f t="shared" si="24"/>
        <v>-2</v>
      </c>
      <c r="I80" s="32">
        <f t="shared" si="25"/>
        <v>-0.19620000000000001</v>
      </c>
      <c r="J80" s="31">
        <f t="shared" ref="J80:J81" si="39">$C$26*N35*L35</f>
        <v>313.72380000000004</v>
      </c>
      <c r="K80" s="31">
        <f t="shared" si="27"/>
        <v>95.987429999999989</v>
      </c>
      <c r="L80" s="31">
        <f t="shared" si="33"/>
        <v>2545.2759534255151</v>
      </c>
      <c r="M80" s="31">
        <f t="shared" si="29"/>
        <v>-1066</v>
      </c>
      <c r="N80" s="30">
        <f t="shared" si="30"/>
        <v>1888.987183425515</v>
      </c>
      <c r="O80" s="30">
        <f t="shared" si="18"/>
        <v>-3777.97436685103</v>
      </c>
      <c r="P80" s="30">
        <v>-3777.97436685103</v>
      </c>
      <c r="Q80" s="30">
        <f t="shared" si="19"/>
        <v>37335.021346716829</v>
      </c>
      <c r="R80" s="30">
        <v>39463.021346716829</v>
      </c>
      <c r="S80" s="31">
        <f t="shared" si="21"/>
        <v>-3777.97436685103</v>
      </c>
      <c r="T80" s="31">
        <f t="shared" si="20"/>
        <v>33557.046979865801</v>
      </c>
    </row>
    <row r="81" spans="2:20" x14ac:dyDescent="0.25">
      <c r="B81" s="30" t="s">
        <v>15</v>
      </c>
      <c r="C81" s="30">
        <v>14</v>
      </c>
      <c r="D81" s="30">
        <f t="shared" si="37"/>
        <v>507</v>
      </c>
      <c r="E81" s="34">
        <v>1</v>
      </c>
      <c r="F81" s="31">
        <f t="shared" si="38"/>
        <v>28</v>
      </c>
      <c r="G81" s="35">
        <f t="shared" si="32"/>
        <v>14</v>
      </c>
      <c r="H81" s="31">
        <f t="shared" si="24"/>
        <v>-1</v>
      </c>
      <c r="I81" s="32">
        <f t="shared" si="25"/>
        <v>-9.8100000000000007E-2</v>
      </c>
      <c r="J81" s="31">
        <f t="shared" si="39"/>
        <v>313.72380000000004</v>
      </c>
      <c r="K81" s="31">
        <f t="shared" si="27"/>
        <v>83.615716799999987</v>
      </c>
      <c r="L81" s="31">
        <f t="shared" si="33"/>
        <v>2545.2759534255151</v>
      </c>
      <c r="M81" s="31">
        <f t="shared" si="29"/>
        <v>-533</v>
      </c>
      <c r="N81" s="30">
        <f t="shared" si="30"/>
        <v>2409.6154702255153</v>
      </c>
      <c r="O81" s="30">
        <f t="shared" si="18"/>
        <v>-2409.6154702255153</v>
      </c>
      <c r="P81" s="30">
        <v>-2409.6154702255153</v>
      </c>
      <c r="Q81" s="30">
        <f t="shared" si="19"/>
        <v>35966.662450091317</v>
      </c>
      <c r="R81" s="30">
        <v>36498.662450091317</v>
      </c>
      <c r="S81" s="31">
        <f t="shared" si="21"/>
        <v>-2409.6154702255153</v>
      </c>
      <c r="T81" s="31">
        <f t="shared" si="20"/>
        <v>33557.046979865801</v>
      </c>
    </row>
    <row r="82" spans="2:20" x14ac:dyDescent="0.25">
      <c r="B82" s="30" t="s">
        <v>15</v>
      </c>
      <c r="C82" s="30">
        <v>16</v>
      </c>
      <c r="D82" s="30">
        <f t="shared" si="37"/>
        <v>523</v>
      </c>
      <c r="E82" s="34">
        <v>1</v>
      </c>
      <c r="F82" s="31">
        <f t="shared" si="38"/>
        <v>29</v>
      </c>
      <c r="G82" s="35">
        <f t="shared" si="32"/>
        <v>16</v>
      </c>
      <c r="H82" s="31">
        <f t="shared" si="24"/>
        <v>2</v>
      </c>
      <c r="I82" s="32">
        <f t="shared" si="25"/>
        <v>0.19620000000000001</v>
      </c>
      <c r="J82" s="31">
        <f>$C$26*N35*L35</f>
        <v>313.72380000000004</v>
      </c>
      <c r="K82" s="31">
        <f t="shared" si="27"/>
        <v>109.21236479999999</v>
      </c>
      <c r="L82" s="31">
        <f t="shared" si="33"/>
        <v>2545.2759534255151</v>
      </c>
      <c r="M82" s="31">
        <f t="shared" si="29"/>
        <v>1066</v>
      </c>
      <c r="N82" s="30">
        <f t="shared" si="30"/>
        <v>4034.212118225515</v>
      </c>
      <c r="O82" s="30">
        <f t="shared" si="18"/>
        <v>8068.4242364510301</v>
      </c>
      <c r="P82" s="30">
        <v>8068.4242364510301</v>
      </c>
      <c r="Q82" s="30">
        <f t="shared" si="19"/>
        <v>25488.622743414773</v>
      </c>
      <c r="R82" s="30">
        <v>27616.622743414773</v>
      </c>
      <c r="S82" s="31">
        <f t="shared" si="21"/>
        <v>8068.4242364510301</v>
      </c>
      <c r="T82" s="31">
        <f t="shared" si="20"/>
        <v>33557.046979865801</v>
      </c>
    </row>
    <row r="83" spans="2:20" x14ac:dyDescent="0.25">
      <c r="B83" s="30" t="s">
        <v>16</v>
      </c>
      <c r="C83" s="33">
        <v>13</v>
      </c>
      <c r="D83" s="30">
        <f t="shared" si="37"/>
        <v>536</v>
      </c>
      <c r="E83" s="34">
        <v>1</v>
      </c>
      <c r="F83" s="31">
        <f t="shared" si="38"/>
        <v>30</v>
      </c>
      <c r="G83" s="30">
        <f t="shared" si="32"/>
        <v>13</v>
      </c>
      <c r="H83" s="31">
        <f t="shared" si="24"/>
        <v>-3</v>
      </c>
      <c r="I83" s="32">
        <f t="shared" si="25"/>
        <v>-0.29430000000000001</v>
      </c>
      <c r="J83" s="31">
        <f t="shared" ref="J83:J85" si="40">$C$26*N36*L36</f>
        <v>313.72380000000004</v>
      </c>
      <c r="K83" s="31">
        <f t="shared" si="27"/>
        <v>72.097225199999997</v>
      </c>
      <c r="L83" s="31">
        <f t="shared" si="33"/>
        <v>2545.2759534255151</v>
      </c>
      <c r="M83" s="31">
        <f t="shared" si="29"/>
        <v>-1599</v>
      </c>
      <c r="N83" s="30">
        <f t="shared" si="30"/>
        <v>1332.096978625515</v>
      </c>
      <c r="O83" s="30">
        <f t="shared" si="18"/>
        <v>-3996.2909358765451</v>
      </c>
      <c r="P83" s="30">
        <v>-3996.2909358765451</v>
      </c>
      <c r="Q83" s="30">
        <f t="shared" si="19"/>
        <v>37553.337915742348</v>
      </c>
      <c r="R83" s="30">
        <v>42341.337915742348</v>
      </c>
      <c r="S83" s="31">
        <f t="shared" si="21"/>
        <v>-3996.2909358765451</v>
      </c>
      <c r="T83" s="31">
        <f t="shared" si="20"/>
        <v>33557.046979865801</v>
      </c>
    </row>
    <row r="84" spans="2:20" x14ac:dyDescent="0.25">
      <c r="B84" s="30" t="s">
        <v>16</v>
      </c>
      <c r="C84" s="33">
        <v>11</v>
      </c>
      <c r="D84" s="30">
        <f t="shared" si="37"/>
        <v>547</v>
      </c>
      <c r="E84" s="34">
        <v>1</v>
      </c>
      <c r="F84" s="31">
        <f t="shared" si="38"/>
        <v>31</v>
      </c>
      <c r="G84" s="30">
        <f t="shared" si="32"/>
        <v>11</v>
      </c>
      <c r="H84" s="31">
        <f t="shared" si="24"/>
        <v>-2</v>
      </c>
      <c r="I84" s="32">
        <f t="shared" si="25"/>
        <v>-0.19620000000000001</v>
      </c>
      <c r="J84" s="31">
        <f t="shared" si="40"/>
        <v>313.72380000000004</v>
      </c>
      <c r="K84" s="31">
        <f t="shared" si="27"/>
        <v>51.619906799999995</v>
      </c>
      <c r="L84" s="31">
        <f t="shared" si="33"/>
        <v>2545.2759534255151</v>
      </c>
      <c r="M84" s="31">
        <f t="shared" si="29"/>
        <v>-1066</v>
      </c>
      <c r="N84" s="30">
        <f t="shared" si="30"/>
        <v>1844.619660225515</v>
      </c>
      <c r="O84" s="30">
        <f t="shared" si="18"/>
        <v>-3689.2393204510299</v>
      </c>
      <c r="P84" s="30">
        <v>-3689.2393204510299</v>
      </c>
      <c r="Q84" s="30">
        <f t="shared" si="19"/>
        <v>37246.286300316831</v>
      </c>
      <c r="R84" s="30">
        <v>39374.286300316831</v>
      </c>
      <c r="S84" s="31">
        <f t="shared" si="21"/>
        <v>-3689.2393204510299</v>
      </c>
      <c r="T84" s="31">
        <f t="shared" si="20"/>
        <v>33557.046979865801</v>
      </c>
    </row>
    <row r="85" spans="2:20" x14ac:dyDescent="0.25">
      <c r="B85" s="30" t="s">
        <v>16</v>
      </c>
      <c r="C85" s="33">
        <v>9</v>
      </c>
      <c r="D85" s="30">
        <f t="shared" si="37"/>
        <v>556</v>
      </c>
      <c r="E85" s="34">
        <v>1</v>
      </c>
      <c r="F85" s="31">
        <f t="shared" si="38"/>
        <v>32</v>
      </c>
      <c r="G85" s="30">
        <f t="shared" si="32"/>
        <v>9</v>
      </c>
      <c r="H85" s="31">
        <f t="shared" si="24"/>
        <v>-2</v>
      </c>
      <c r="I85" s="32">
        <f t="shared" si="25"/>
        <v>-0.19620000000000001</v>
      </c>
      <c r="J85" s="31">
        <f t="shared" si="40"/>
        <v>313.72380000000004</v>
      </c>
      <c r="K85" s="31">
        <f t="shared" si="27"/>
        <v>34.555474799999999</v>
      </c>
      <c r="L85" s="31">
        <f t="shared" si="33"/>
        <v>2545.2759534255151</v>
      </c>
      <c r="M85" s="31">
        <f t="shared" si="29"/>
        <v>-1066</v>
      </c>
      <c r="N85" s="30">
        <f t="shared" si="30"/>
        <v>1827.5552282255153</v>
      </c>
      <c r="O85" s="30">
        <f t="shared" ref="O85:O104" si="41">N85*H85</f>
        <v>-3655.1104564510306</v>
      </c>
      <c r="P85" s="30">
        <v>-3655.1104564510306</v>
      </c>
      <c r="Q85" s="30">
        <f t="shared" si="19"/>
        <v>37212.157436316833</v>
      </c>
      <c r="R85" s="30">
        <v>39340.157436316833</v>
      </c>
      <c r="S85" s="31">
        <f t="shared" si="21"/>
        <v>-3655.1104564510306</v>
      </c>
      <c r="T85" s="31">
        <f t="shared" si="20"/>
        <v>33557.046979865801</v>
      </c>
    </row>
    <row r="86" spans="2:20" x14ac:dyDescent="0.25">
      <c r="B86" s="30" t="s">
        <v>16</v>
      </c>
      <c r="C86" s="33">
        <v>13</v>
      </c>
      <c r="D86" s="30">
        <f t="shared" si="37"/>
        <v>569</v>
      </c>
      <c r="E86" s="34">
        <v>1</v>
      </c>
      <c r="F86" s="31">
        <f t="shared" si="38"/>
        <v>33</v>
      </c>
      <c r="G86" s="30">
        <f t="shared" si="32"/>
        <v>13</v>
      </c>
      <c r="H86" s="31">
        <f t="shared" si="24"/>
        <v>4</v>
      </c>
      <c r="I86" s="32">
        <f t="shared" si="25"/>
        <v>0.39240000000000003</v>
      </c>
      <c r="J86" s="31">
        <f>$C$26*N36*L36</f>
        <v>313.72380000000004</v>
      </c>
      <c r="K86" s="31">
        <f t="shared" si="27"/>
        <v>72.097225199999997</v>
      </c>
      <c r="L86" s="31">
        <f t="shared" si="33"/>
        <v>2545.2759534255151</v>
      </c>
      <c r="M86" s="31">
        <f t="shared" si="29"/>
        <v>2132</v>
      </c>
      <c r="N86" s="30">
        <f t="shared" si="30"/>
        <v>5063.0969786255155</v>
      </c>
      <c r="O86" s="30">
        <f t="shared" si="41"/>
        <v>20252.387914502062</v>
      </c>
      <c r="P86" s="30">
        <v>20252.387914502062</v>
      </c>
      <c r="Q86" s="30">
        <f t="shared" si="19"/>
        <v>13304.65906536374</v>
      </c>
      <c r="R86" s="30">
        <v>21816.65906536374</v>
      </c>
      <c r="S86" s="31">
        <f t="shared" ref="S86:S104" si="42">O86/E86</f>
        <v>20252.387914502062</v>
      </c>
      <c r="T86" s="31">
        <f t="shared" si="20"/>
        <v>33557.046979865801</v>
      </c>
    </row>
    <row r="87" spans="2:20" x14ac:dyDescent="0.25">
      <c r="B87" s="30" t="s">
        <v>17</v>
      </c>
      <c r="C87" s="33">
        <v>11</v>
      </c>
      <c r="D87" s="30">
        <f t="shared" si="37"/>
        <v>580</v>
      </c>
      <c r="E87" s="34">
        <v>1</v>
      </c>
      <c r="F87" s="31">
        <f t="shared" si="38"/>
        <v>34</v>
      </c>
      <c r="G87" s="30">
        <f t="shared" si="32"/>
        <v>11</v>
      </c>
      <c r="H87" s="31">
        <f t="shared" si="24"/>
        <v>-2</v>
      </c>
      <c r="I87" s="32">
        <f t="shared" si="25"/>
        <v>-0.19620000000000001</v>
      </c>
      <c r="J87" s="31">
        <f t="shared" ref="J87:J88" si="43">$C$26*N37*L37</f>
        <v>313.72380000000004</v>
      </c>
      <c r="K87" s="31">
        <f t="shared" si="27"/>
        <v>51.619906799999995</v>
      </c>
      <c r="L87" s="31">
        <f t="shared" si="33"/>
        <v>2545.2759534255151</v>
      </c>
      <c r="M87" s="31">
        <f t="shared" si="29"/>
        <v>-1066</v>
      </c>
      <c r="N87" s="30">
        <f t="shared" si="30"/>
        <v>1844.619660225515</v>
      </c>
      <c r="O87" s="30">
        <f t="shared" si="41"/>
        <v>-3689.2393204510299</v>
      </c>
      <c r="P87" s="30">
        <v>-3689.2393204510299</v>
      </c>
      <c r="Q87" s="30">
        <f t="shared" si="19"/>
        <v>37246.286300316831</v>
      </c>
      <c r="R87" s="30">
        <v>39374.286300316831</v>
      </c>
      <c r="S87" s="31">
        <f t="shared" si="42"/>
        <v>-3689.2393204510299</v>
      </c>
      <c r="T87" s="31">
        <f t="shared" si="20"/>
        <v>33557.046979865801</v>
      </c>
    </row>
    <row r="88" spans="2:20" x14ac:dyDescent="0.25">
      <c r="B88" s="30" t="s">
        <v>17</v>
      </c>
      <c r="C88" s="33">
        <v>13</v>
      </c>
      <c r="D88" s="30">
        <f t="shared" si="37"/>
        <v>593</v>
      </c>
      <c r="E88" s="34">
        <v>1</v>
      </c>
      <c r="F88" s="31">
        <f t="shared" si="38"/>
        <v>35</v>
      </c>
      <c r="G88" s="30">
        <f t="shared" si="32"/>
        <v>13</v>
      </c>
      <c r="H88" s="31">
        <f t="shared" si="24"/>
        <v>2</v>
      </c>
      <c r="I88" s="32">
        <f t="shared" si="25"/>
        <v>0.19620000000000001</v>
      </c>
      <c r="J88" s="31">
        <f t="shared" si="43"/>
        <v>313.72380000000004</v>
      </c>
      <c r="K88" s="31">
        <f t="shared" si="27"/>
        <v>72.097225199999997</v>
      </c>
      <c r="L88" s="31">
        <f t="shared" si="33"/>
        <v>2545.2759534255151</v>
      </c>
      <c r="M88" s="31">
        <f t="shared" si="29"/>
        <v>1066</v>
      </c>
      <c r="N88" s="30">
        <f t="shared" si="30"/>
        <v>3997.096978625515</v>
      </c>
      <c r="O88" s="30">
        <f t="shared" si="41"/>
        <v>7994.19395725103</v>
      </c>
      <c r="P88" s="30">
        <v>7994.19395725103</v>
      </c>
      <c r="Q88" s="30">
        <f t="shared" si="19"/>
        <v>25562.85302261477</v>
      </c>
      <c r="R88" s="30">
        <v>27690.85302261477</v>
      </c>
      <c r="S88" s="31">
        <f t="shared" si="42"/>
        <v>7994.19395725103</v>
      </c>
      <c r="T88" s="31">
        <f t="shared" si="20"/>
        <v>33557.046979865801</v>
      </c>
    </row>
    <row r="89" spans="2:20" x14ac:dyDescent="0.25">
      <c r="B89" s="30" t="s">
        <v>17</v>
      </c>
      <c r="C89" s="33">
        <v>16</v>
      </c>
      <c r="D89" s="30">
        <f t="shared" si="37"/>
        <v>609</v>
      </c>
      <c r="E89" s="34">
        <v>1</v>
      </c>
      <c r="F89" s="31">
        <f t="shared" si="38"/>
        <v>36</v>
      </c>
      <c r="G89" s="30">
        <f t="shared" si="32"/>
        <v>16</v>
      </c>
      <c r="H89" s="31">
        <f t="shared" si="24"/>
        <v>3</v>
      </c>
      <c r="I89" s="32">
        <f t="shared" si="25"/>
        <v>0.29430000000000001</v>
      </c>
      <c r="J89" s="31">
        <f>$C$26*N37*L37</f>
        <v>313.72380000000004</v>
      </c>
      <c r="K89" s="31">
        <f t="shared" si="27"/>
        <v>109.21236479999999</v>
      </c>
      <c r="L89" s="31">
        <f t="shared" si="33"/>
        <v>2545.2759534255151</v>
      </c>
      <c r="M89" s="31">
        <f t="shared" si="29"/>
        <v>1599</v>
      </c>
      <c r="N89" s="30">
        <f t="shared" si="30"/>
        <v>4567.212118225515</v>
      </c>
      <c r="O89" s="30">
        <f t="shared" si="41"/>
        <v>13701.636354676546</v>
      </c>
      <c r="P89" s="30">
        <v>13701.636354676546</v>
      </c>
      <c r="Q89" s="30">
        <f t="shared" si="19"/>
        <v>19855.410625189255</v>
      </c>
      <c r="R89" s="30">
        <v>24643.410625189255</v>
      </c>
      <c r="S89" s="31">
        <f t="shared" si="42"/>
        <v>13701.636354676546</v>
      </c>
      <c r="T89" s="31">
        <f t="shared" si="20"/>
        <v>33557.046979865801</v>
      </c>
    </row>
    <row r="90" spans="2:20" x14ac:dyDescent="0.25">
      <c r="B90" s="30" t="s">
        <v>18</v>
      </c>
      <c r="C90" s="33">
        <v>16</v>
      </c>
      <c r="D90" s="30">
        <f t="shared" si="37"/>
        <v>625</v>
      </c>
      <c r="E90" s="34">
        <v>1</v>
      </c>
      <c r="F90" s="31">
        <f t="shared" si="38"/>
        <v>37</v>
      </c>
      <c r="G90" s="30">
        <f t="shared" si="32"/>
        <v>16</v>
      </c>
      <c r="H90" s="31">
        <f t="shared" si="24"/>
        <v>0</v>
      </c>
      <c r="I90" s="32">
        <f t="shared" si="25"/>
        <v>0</v>
      </c>
      <c r="J90" s="31">
        <f t="shared" ref="J90:J92" si="44">$C$26*N38*L38</f>
        <v>313.72380000000004</v>
      </c>
      <c r="K90" s="31">
        <f t="shared" si="27"/>
        <v>109.21236479999999</v>
      </c>
      <c r="L90" s="31">
        <f t="shared" si="33"/>
        <v>2545.2759534255151</v>
      </c>
      <c r="M90" s="31">
        <f t="shared" si="29"/>
        <v>0</v>
      </c>
      <c r="N90" s="30">
        <f t="shared" si="30"/>
        <v>2968.212118225515</v>
      </c>
      <c r="O90" s="30">
        <f t="shared" si="41"/>
        <v>0</v>
      </c>
      <c r="P90" s="30">
        <v>0</v>
      </c>
      <c r="Q90" s="30">
        <f t="shared" si="19"/>
        <v>33557.046979865801</v>
      </c>
      <c r="R90" s="30">
        <v>33557.046979865801</v>
      </c>
      <c r="S90" s="31">
        <f t="shared" si="42"/>
        <v>0</v>
      </c>
      <c r="T90" s="31">
        <f t="shared" si="20"/>
        <v>33557.046979865801</v>
      </c>
    </row>
    <row r="91" spans="2:20" x14ac:dyDescent="0.25">
      <c r="B91" s="30" t="s">
        <v>18</v>
      </c>
      <c r="C91" s="38">
        <v>18</v>
      </c>
      <c r="D91" s="30">
        <f t="shared" si="37"/>
        <v>643</v>
      </c>
      <c r="E91" s="34">
        <v>1</v>
      </c>
      <c r="F91" s="31">
        <f t="shared" si="38"/>
        <v>38</v>
      </c>
      <c r="G91" s="30">
        <f t="shared" si="32"/>
        <v>18</v>
      </c>
      <c r="H91" s="31">
        <f t="shared" si="24"/>
        <v>2</v>
      </c>
      <c r="I91" s="32">
        <f t="shared" si="25"/>
        <v>0.19620000000000001</v>
      </c>
      <c r="J91" s="31">
        <f t="shared" si="44"/>
        <v>313.72380000000004</v>
      </c>
      <c r="K91" s="31">
        <f t="shared" si="27"/>
        <v>138.2218992</v>
      </c>
      <c r="L91" s="31">
        <f t="shared" si="33"/>
        <v>2545.2759534255151</v>
      </c>
      <c r="M91" s="31">
        <f t="shared" si="29"/>
        <v>1066</v>
      </c>
      <c r="N91" s="30">
        <f t="shared" si="30"/>
        <v>4063.2216526255152</v>
      </c>
      <c r="O91" s="30">
        <f t="shared" si="41"/>
        <v>8126.4433052510303</v>
      </c>
      <c r="P91" s="30">
        <v>8126.4433052510303</v>
      </c>
      <c r="Q91" s="30">
        <f t="shared" si="19"/>
        <v>25430.603674614773</v>
      </c>
      <c r="R91" s="30">
        <v>27558.603674614773</v>
      </c>
      <c r="S91" s="31">
        <f t="shared" si="42"/>
        <v>8126.4433052510303</v>
      </c>
      <c r="T91" s="31">
        <f t="shared" si="20"/>
        <v>33557.046979865801</v>
      </c>
    </row>
    <row r="92" spans="2:20" x14ac:dyDescent="0.25">
      <c r="B92" s="30" t="s">
        <v>18</v>
      </c>
      <c r="C92" s="33">
        <v>22</v>
      </c>
      <c r="D92" s="30">
        <f t="shared" ref="D92:D104" si="45">C92+D91</f>
        <v>665</v>
      </c>
      <c r="E92" s="34">
        <v>1</v>
      </c>
      <c r="F92" s="31">
        <f t="shared" ref="F92:F104" si="46">E92+F91</f>
        <v>39</v>
      </c>
      <c r="G92" s="30">
        <f t="shared" si="32"/>
        <v>22</v>
      </c>
      <c r="H92" s="31">
        <f t="shared" si="24"/>
        <v>4</v>
      </c>
      <c r="I92" s="32">
        <f t="shared" si="25"/>
        <v>0.39240000000000003</v>
      </c>
      <c r="J92" s="31">
        <f t="shared" si="44"/>
        <v>313.72380000000004</v>
      </c>
      <c r="K92" s="31">
        <f t="shared" si="27"/>
        <v>206.47962719999998</v>
      </c>
      <c r="L92" s="31">
        <f t="shared" si="33"/>
        <v>2545.2759534255151</v>
      </c>
      <c r="M92" s="31">
        <f t="shared" si="29"/>
        <v>2132</v>
      </c>
      <c r="N92" s="30">
        <f t="shared" si="30"/>
        <v>5197.4793806255148</v>
      </c>
      <c r="O92" s="30">
        <f t="shared" si="41"/>
        <v>20789.917522502059</v>
      </c>
      <c r="P92" s="30">
        <v>20789.917522502059</v>
      </c>
      <c r="Q92" s="30">
        <f t="shared" si="19"/>
        <v>12767.129457363742</v>
      </c>
      <c r="R92" s="30">
        <v>21279.129457363742</v>
      </c>
      <c r="S92" s="31">
        <f t="shared" si="42"/>
        <v>20789.917522502059</v>
      </c>
      <c r="T92" s="31">
        <f t="shared" si="20"/>
        <v>33557.046979865801</v>
      </c>
    </row>
    <row r="93" spans="2:20" x14ac:dyDescent="0.25">
      <c r="B93" s="30" t="s">
        <v>18</v>
      </c>
      <c r="C93" s="30">
        <v>24</v>
      </c>
      <c r="D93" s="30">
        <f t="shared" si="45"/>
        <v>689</v>
      </c>
      <c r="E93" s="34">
        <v>1</v>
      </c>
      <c r="F93" s="31">
        <f t="shared" si="46"/>
        <v>40</v>
      </c>
      <c r="G93" s="30">
        <f t="shared" si="32"/>
        <v>24</v>
      </c>
      <c r="H93" s="31">
        <f t="shared" si="24"/>
        <v>2</v>
      </c>
      <c r="I93" s="32">
        <f t="shared" si="25"/>
        <v>0.19620000000000001</v>
      </c>
      <c r="J93" s="31">
        <f>$C$26*N38*L38</f>
        <v>313.72380000000004</v>
      </c>
      <c r="K93" s="31">
        <f t="shared" si="27"/>
        <v>245.72782079999996</v>
      </c>
      <c r="L93" s="31">
        <f t="shared" si="33"/>
        <v>2545.2759534255151</v>
      </c>
      <c r="M93" s="31">
        <f t="shared" si="29"/>
        <v>1066</v>
      </c>
      <c r="N93" s="30">
        <f t="shared" si="30"/>
        <v>4170.7275742255151</v>
      </c>
      <c r="O93" s="30">
        <f t="shared" si="41"/>
        <v>8341.4551484510303</v>
      </c>
      <c r="P93" s="30">
        <v>8341.4551484510303</v>
      </c>
      <c r="Q93" s="30">
        <f t="shared" si="19"/>
        <v>25215.591831414771</v>
      </c>
      <c r="R93" s="30">
        <v>27343.591831414771</v>
      </c>
      <c r="S93" s="31">
        <f t="shared" si="42"/>
        <v>8341.4551484510303</v>
      </c>
      <c r="T93" s="31">
        <f t="shared" si="20"/>
        <v>33557.046979865801</v>
      </c>
    </row>
    <row r="94" spans="2:20" x14ac:dyDescent="0.25">
      <c r="B94" s="30" t="s">
        <v>19</v>
      </c>
      <c r="C94" s="30">
        <v>26</v>
      </c>
      <c r="D94" s="30">
        <f t="shared" si="45"/>
        <v>715</v>
      </c>
      <c r="E94" s="34">
        <v>1</v>
      </c>
      <c r="F94" s="31">
        <f t="shared" si="46"/>
        <v>41</v>
      </c>
      <c r="G94" s="30">
        <f t="shared" si="32"/>
        <v>26</v>
      </c>
      <c r="H94" s="31">
        <f t="shared" si="24"/>
        <v>2</v>
      </c>
      <c r="I94" s="32">
        <f>(9.81/100)*H94</f>
        <v>0.19620000000000001</v>
      </c>
      <c r="J94" s="31">
        <f>$C$26*N39*L39</f>
        <v>313.72380000000004</v>
      </c>
      <c r="K94" s="31">
        <f t="shared" si="27"/>
        <v>288.38890079999999</v>
      </c>
      <c r="L94" s="31">
        <f t="shared" si="33"/>
        <v>2545.2759534255151</v>
      </c>
      <c r="M94" s="31">
        <f t="shared" si="29"/>
        <v>1066</v>
      </c>
      <c r="N94" s="30">
        <f t="shared" si="30"/>
        <v>4213.388654225515</v>
      </c>
      <c r="O94" s="30">
        <f t="shared" si="41"/>
        <v>8426.77730845103</v>
      </c>
      <c r="P94" s="30">
        <v>8426.77730845103</v>
      </c>
      <c r="Q94" s="30">
        <f t="shared" si="19"/>
        <v>25130.269671414771</v>
      </c>
      <c r="R94" s="30">
        <v>10625.237854287196</v>
      </c>
      <c r="S94" s="31">
        <f t="shared" si="42"/>
        <v>8426.77730845103</v>
      </c>
      <c r="T94" s="31">
        <f t="shared" si="20"/>
        <v>33557.046979865801</v>
      </c>
    </row>
    <row r="95" spans="2:20" x14ac:dyDescent="0.25">
      <c r="B95" s="30" t="s">
        <v>20</v>
      </c>
      <c r="C95" s="30">
        <v>25</v>
      </c>
      <c r="D95" s="30">
        <f t="shared" si="45"/>
        <v>740</v>
      </c>
      <c r="E95" s="34">
        <v>1</v>
      </c>
      <c r="F95" s="31">
        <f t="shared" si="46"/>
        <v>42</v>
      </c>
      <c r="G95" s="30">
        <f t="shared" si="32"/>
        <v>25</v>
      </c>
      <c r="H95" s="31">
        <f t="shared" si="24"/>
        <v>-1</v>
      </c>
      <c r="I95" s="32">
        <f t="shared" ref="I95:I104" si="47">(9.81/100)*H95</f>
        <v>-9.8100000000000007E-2</v>
      </c>
      <c r="J95" s="31">
        <f>$C$26*N40*L40</f>
        <v>313.72380000000004</v>
      </c>
      <c r="K95" s="31">
        <f t="shared" si="27"/>
        <v>266.63174999999995</v>
      </c>
      <c r="L95" s="31">
        <f t="shared" si="33"/>
        <v>2545.2759534255151</v>
      </c>
      <c r="M95" s="31">
        <f t="shared" si="29"/>
        <v>-533</v>
      </c>
      <c r="N95" s="30">
        <f t="shared" si="30"/>
        <v>2592.6315034255149</v>
      </c>
      <c r="O95" s="30">
        <f t="shared" si="41"/>
        <v>-2592.6315034255149</v>
      </c>
      <c r="P95" s="30">
        <v>-2592.6315034255149</v>
      </c>
      <c r="Q95" s="30">
        <f t="shared" si="19"/>
        <v>36149.678483291318</v>
      </c>
      <c r="R95" s="30">
        <v>66762.131787546474</v>
      </c>
      <c r="S95" s="31">
        <f t="shared" si="42"/>
        <v>-2592.6315034255149</v>
      </c>
      <c r="T95" s="31">
        <f t="shared" si="20"/>
        <v>33557.046979865801</v>
      </c>
    </row>
    <row r="96" spans="2:20" x14ac:dyDescent="0.25">
      <c r="B96" s="30" t="s">
        <v>21</v>
      </c>
      <c r="C96" s="30">
        <v>24</v>
      </c>
      <c r="D96" s="30">
        <f t="shared" si="45"/>
        <v>764</v>
      </c>
      <c r="E96" s="34">
        <v>1</v>
      </c>
      <c r="F96" s="31">
        <f t="shared" si="46"/>
        <v>43</v>
      </c>
      <c r="G96" s="30">
        <f t="shared" si="32"/>
        <v>24</v>
      </c>
      <c r="H96" s="31">
        <f t="shared" si="24"/>
        <v>-1</v>
      </c>
      <c r="I96" s="32">
        <f t="shared" si="47"/>
        <v>-9.8100000000000007E-2</v>
      </c>
      <c r="J96" s="31">
        <f t="shared" ref="J96:J97" si="48">$C$26*N41*L41</f>
        <v>313.72380000000004</v>
      </c>
      <c r="K96" s="31">
        <f t="shared" si="27"/>
        <v>245.72782079999996</v>
      </c>
      <c r="L96" s="36">
        <f>$C$26*9.81*+SIN($I$27)</f>
        <v>2545.2759534255151</v>
      </c>
      <c r="M96" s="31">
        <f t="shared" si="29"/>
        <v>-533</v>
      </c>
      <c r="N96" s="36">
        <f t="shared" si="30"/>
        <v>2571.7275742255151</v>
      </c>
      <c r="O96" s="36">
        <f t="shared" si="41"/>
        <v>-2571.7275742255151</v>
      </c>
      <c r="P96" s="36">
        <v>-2571.7275742255151</v>
      </c>
      <c r="Q96" s="36">
        <f t="shared" si="19"/>
        <v>36128.774554091317</v>
      </c>
      <c r="R96" s="36">
        <v>21122.136682963741</v>
      </c>
      <c r="S96" s="36">
        <f t="shared" si="42"/>
        <v>-2571.7275742255151</v>
      </c>
      <c r="T96" s="31">
        <f t="shared" si="20"/>
        <v>33557.046979865801</v>
      </c>
    </row>
    <row r="97" spans="2:24" x14ac:dyDescent="0.25">
      <c r="B97" s="30" t="s">
        <v>21</v>
      </c>
      <c r="C97" s="30">
        <v>28</v>
      </c>
      <c r="D97" s="30">
        <f t="shared" si="45"/>
        <v>792</v>
      </c>
      <c r="E97" s="34">
        <v>1</v>
      </c>
      <c r="F97" s="31">
        <f t="shared" si="46"/>
        <v>44</v>
      </c>
      <c r="G97" s="30">
        <f t="shared" si="32"/>
        <v>28</v>
      </c>
      <c r="H97" s="31">
        <f t="shared" si="24"/>
        <v>4</v>
      </c>
      <c r="I97" s="32">
        <f t="shared" si="47"/>
        <v>0.39240000000000003</v>
      </c>
      <c r="J97" s="31">
        <f t="shared" si="48"/>
        <v>313.72380000000004</v>
      </c>
      <c r="K97" s="31">
        <f t="shared" si="27"/>
        <v>334.46286719999995</v>
      </c>
      <c r="L97" s="36">
        <f t="shared" ref="L97:L104" si="49">$C$26*9.81*+SIN($I$27)</f>
        <v>2545.2759534255151</v>
      </c>
      <c r="M97" s="31">
        <f t="shared" si="29"/>
        <v>2132</v>
      </c>
      <c r="N97" s="36">
        <f t="shared" si="30"/>
        <v>5325.4626206255152</v>
      </c>
      <c r="O97" s="36">
        <f t="shared" si="41"/>
        <v>21301.850482502061</v>
      </c>
      <c r="P97" s="36">
        <v>21301.850482502061</v>
      </c>
      <c r="Q97" s="36">
        <f t="shared" si="19"/>
        <v>12255.19649736374</v>
      </c>
      <c r="R97" s="36">
        <v>20767.19649736374</v>
      </c>
      <c r="S97" s="36">
        <f t="shared" si="42"/>
        <v>21301.850482502061</v>
      </c>
      <c r="T97" s="31">
        <f t="shared" si="20"/>
        <v>33557.046979865801</v>
      </c>
    </row>
    <row r="98" spans="2:24" x14ac:dyDescent="0.25">
      <c r="B98" s="30" t="s">
        <v>21</v>
      </c>
      <c r="C98" s="30">
        <v>28</v>
      </c>
      <c r="D98" s="30">
        <f t="shared" si="45"/>
        <v>820</v>
      </c>
      <c r="E98" s="34">
        <v>1</v>
      </c>
      <c r="F98" s="31">
        <f t="shared" si="46"/>
        <v>45</v>
      </c>
      <c r="G98" s="30">
        <f t="shared" si="32"/>
        <v>28</v>
      </c>
      <c r="H98" s="31">
        <f t="shared" si="24"/>
        <v>0</v>
      </c>
      <c r="I98" s="32">
        <f t="shared" si="47"/>
        <v>0</v>
      </c>
      <c r="J98" s="31">
        <f>$C$26*N41*L41</f>
        <v>313.72380000000004</v>
      </c>
      <c r="K98" s="31">
        <f t="shared" si="27"/>
        <v>334.46286719999995</v>
      </c>
      <c r="L98" s="36">
        <f t="shared" si="49"/>
        <v>2545.2759534255151</v>
      </c>
      <c r="M98" s="31">
        <f t="shared" si="29"/>
        <v>0</v>
      </c>
      <c r="N98" s="36">
        <f t="shared" si="30"/>
        <v>3193.4626206255152</v>
      </c>
      <c r="O98" s="36">
        <f t="shared" si="41"/>
        <v>0</v>
      </c>
      <c r="P98" s="36">
        <v>0</v>
      </c>
      <c r="Q98" s="36">
        <f t="shared" si="19"/>
        <v>33557.046979865801</v>
      </c>
      <c r="R98" s="36">
        <v>33557.046979865801</v>
      </c>
      <c r="S98" s="36">
        <f t="shared" si="42"/>
        <v>0</v>
      </c>
      <c r="T98" s="31">
        <f t="shared" si="20"/>
        <v>33557.046979865801</v>
      </c>
    </row>
    <row r="99" spans="2:24" x14ac:dyDescent="0.25">
      <c r="B99" s="30" t="s">
        <v>22</v>
      </c>
      <c r="C99" s="30">
        <v>30</v>
      </c>
      <c r="D99" s="30">
        <f t="shared" si="45"/>
        <v>850</v>
      </c>
      <c r="E99" s="34">
        <v>1</v>
      </c>
      <c r="F99" s="31">
        <f t="shared" si="46"/>
        <v>46</v>
      </c>
      <c r="G99" s="30">
        <f t="shared" si="32"/>
        <v>30</v>
      </c>
      <c r="H99" s="31">
        <f t="shared" si="24"/>
        <v>2</v>
      </c>
      <c r="I99" s="32">
        <f t="shared" si="47"/>
        <v>0.19620000000000001</v>
      </c>
      <c r="J99" s="31">
        <f>$C$26*N35*L35</f>
        <v>313.72380000000004</v>
      </c>
      <c r="K99" s="31">
        <f t="shared" si="27"/>
        <v>383.94971999999996</v>
      </c>
      <c r="L99" s="36">
        <f t="shared" si="49"/>
        <v>2545.2759534255151</v>
      </c>
      <c r="M99" s="31">
        <f t="shared" si="29"/>
        <v>1066</v>
      </c>
      <c r="N99" s="36">
        <f t="shared" si="30"/>
        <v>4308.949473425515</v>
      </c>
      <c r="O99" s="36">
        <f t="shared" si="41"/>
        <v>8617.8989468510299</v>
      </c>
      <c r="P99" s="36">
        <v>8617.8989468510299</v>
      </c>
      <c r="Q99" s="36">
        <f t="shared" si="19"/>
        <v>24939.148033014771</v>
      </c>
      <c r="R99" s="36">
        <v>27067.148033014771</v>
      </c>
      <c r="S99" s="36">
        <f t="shared" si="42"/>
        <v>8617.8989468510299</v>
      </c>
      <c r="T99" s="31">
        <f t="shared" si="20"/>
        <v>33557.046979865801</v>
      </c>
    </row>
    <row r="100" spans="2:24" x14ac:dyDescent="0.25">
      <c r="B100" s="30" t="s">
        <v>22</v>
      </c>
      <c r="C100" s="30">
        <v>30</v>
      </c>
      <c r="D100" s="30">
        <f t="shared" si="45"/>
        <v>880</v>
      </c>
      <c r="E100" s="34">
        <v>1</v>
      </c>
      <c r="F100" s="31">
        <f t="shared" si="46"/>
        <v>47</v>
      </c>
      <c r="G100" s="30">
        <f t="shared" si="32"/>
        <v>30</v>
      </c>
      <c r="H100" s="31">
        <f t="shared" si="24"/>
        <v>0</v>
      </c>
      <c r="I100" s="32">
        <f t="shared" si="47"/>
        <v>0</v>
      </c>
      <c r="J100" s="31">
        <f t="shared" ref="J100:J103" si="50">$C$26*N36*L36</f>
        <v>313.72380000000004</v>
      </c>
      <c r="K100" s="31">
        <f t="shared" si="27"/>
        <v>383.94971999999996</v>
      </c>
      <c r="L100" s="36">
        <f t="shared" si="49"/>
        <v>2545.2759534255151</v>
      </c>
      <c r="M100" s="31">
        <f t="shared" si="29"/>
        <v>0</v>
      </c>
      <c r="N100" s="36">
        <f t="shared" si="30"/>
        <v>3242.949473425515</v>
      </c>
      <c r="O100" s="36">
        <f t="shared" si="41"/>
        <v>0</v>
      </c>
      <c r="P100" s="36">
        <v>0</v>
      </c>
      <c r="Q100" s="36">
        <f t="shared" si="19"/>
        <v>33557.046979865801</v>
      </c>
      <c r="R100" s="36">
        <v>33557.046979865801</v>
      </c>
      <c r="S100" s="36">
        <f t="shared" si="42"/>
        <v>0</v>
      </c>
      <c r="T100" s="31">
        <f t="shared" si="20"/>
        <v>33557.046979865801</v>
      </c>
    </row>
    <row r="101" spans="2:24" x14ac:dyDescent="0.25">
      <c r="B101" s="30" t="s">
        <v>22</v>
      </c>
      <c r="C101" s="30">
        <v>30</v>
      </c>
      <c r="D101" s="30">
        <f t="shared" si="45"/>
        <v>910</v>
      </c>
      <c r="E101" s="34">
        <v>1</v>
      </c>
      <c r="F101" s="31">
        <f t="shared" si="46"/>
        <v>48</v>
      </c>
      <c r="G101" s="30">
        <f t="shared" si="32"/>
        <v>30</v>
      </c>
      <c r="H101" s="31">
        <f t="shared" si="24"/>
        <v>0</v>
      </c>
      <c r="I101" s="32">
        <f t="shared" si="47"/>
        <v>0</v>
      </c>
      <c r="J101" s="31">
        <f t="shared" si="50"/>
        <v>313.72380000000004</v>
      </c>
      <c r="K101" s="31">
        <f t="shared" si="27"/>
        <v>383.94971999999996</v>
      </c>
      <c r="L101" s="36">
        <f t="shared" si="49"/>
        <v>2545.2759534255151</v>
      </c>
      <c r="M101" s="31">
        <f t="shared" si="29"/>
        <v>0</v>
      </c>
      <c r="N101" s="36">
        <f t="shared" si="30"/>
        <v>3242.949473425515</v>
      </c>
      <c r="O101" s="36">
        <f t="shared" si="41"/>
        <v>0</v>
      </c>
      <c r="P101" s="36">
        <v>0</v>
      </c>
      <c r="Q101" s="36">
        <f t="shared" si="19"/>
        <v>33557.046979865801</v>
      </c>
      <c r="R101" s="36">
        <v>33557.046979865801</v>
      </c>
      <c r="S101" s="36">
        <f t="shared" si="42"/>
        <v>0</v>
      </c>
      <c r="T101" s="31">
        <f t="shared" si="20"/>
        <v>33557.046979865801</v>
      </c>
    </row>
    <row r="102" spans="2:24" x14ac:dyDescent="0.25">
      <c r="B102" s="30" t="s">
        <v>22</v>
      </c>
      <c r="C102" s="30">
        <v>30</v>
      </c>
      <c r="D102" s="30">
        <f t="shared" si="45"/>
        <v>940</v>
      </c>
      <c r="E102" s="34">
        <v>1</v>
      </c>
      <c r="F102" s="31">
        <f t="shared" si="46"/>
        <v>49</v>
      </c>
      <c r="G102" s="30">
        <f t="shared" si="32"/>
        <v>30</v>
      </c>
      <c r="H102" s="31">
        <f t="shared" si="24"/>
        <v>0</v>
      </c>
      <c r="I102" s="32">
        <f t="shared" si="47"/>
        <v>0</v>
      </c>
      <c r="J102" s="31">
        <f t="shared" si="50"/>
        <v>313.72380000000004</v>
      </c>
      <c r="K102" s="31">
        <f t="shared" si="27"/>
        <v>383.94971999999996</v>
      </c>
      <c r="L102" s="36">
        <f t="shared" si="49"/>
        <v>2545.2759534255151</v>
      </c>
      <c r="M102" s="31">
        <f t="shared" si="29"/>
        <v>0</v>
      </c>
      <c r="N102" s="36">
        <f t="shared" si="30"/>
        <v>3242.949473425515</v>
      </c>
      <c r="O102" s="36">
        <f t="shared" si="41"/>
        <v>0</v>
      </c>
      <c r="P102" s="36">
        <v>0</v>
      </c>
      <c r="Q102" s="36">
        <f t="shared" si="19"/>
        <v>33557.046979865801</v>
      </c>
      <c r="R102" s="36">
        <v>33557.046979865801</v>
      </c>
      <c r="S102" s="36">
        <f t="shared" si="42"/>
        <v>0</v>
      </c>
      <c r="T102" s="31">
        <f t="shared" si="20"/>
        <v>33557.046979865801</v>
      </c>
      <c r="X102" s="39" t="s">
        <v>115</v>
      </c>
    </row>
    <row r="103" spans="2:24" x14ac:dyDescent="0.25">
      <c r="B103" s="30" t="s">
        <v>22</v>
      </c>
      <c r="C103" s="30">
        <v>30</v>
      </c>
      <c r="D103" s="30">
        <f t="shared" si="45"/>
        <v>970</v>
      </c>
      <c r="E103" s="34">
        <v>1</v>
      </c>
      <c r="F103" s="31">
        <f t="shared" si="46"/>
        <v>50</v>
      </c>
      <c r="G103" s="30">
        <f t="shared" si="32"/>
        <v>30</v>
      </c>
      <c r="H103" s="31">
        <f t="shared" si="24"/>
        <v>0</v>
      </c>
      <c r="I103" s="32">
        <f t="shared" si="47"/>
        <v>0</v>
      </c>
      <c r="J103" s="31">
        <f t="shared" si="50"/>
        <v>313.72380000000004</v>
      </c>
      <c r="K103" s="31">
        <f t="shared" si="27"/>
        <v>383.94971999999996</v>
      </c>
      <c r="L103" s="36">
        <f t="shared" si="49"/>
        <v>2545.2759534255151</v>
      </c>
      <c r="M103" s="31">
        <f t="shared" si="29"/>
        <v>0</v>
      </c>
      <c r="N103" s="36">
        <f t="shared" si="30"/>
        <v>3242.949473425515</v>
      </c>
      <c r="O103" s="36">
        <f t="shared" si="41"/>
        <v>0</v>
      </c>
      <c r="P103" s="36">
        <v>0</v>
      </c>
      <c r="Q103" s="36">
        <f t="shared" si="19"/>
        <v>33557.046979865801</v>
      </c>
      <c r="R103" s="36">
        <v>33557.046979865801</v>
      </c>
      <c r="S103" s="36">
        <f t="shared" si="42"/>
        <v>0</v>
      </c>
      <c r="T103" s="31">
        <f t="shared" si="20"/>
        <v>33557.046979865801</v>
      </c>
      <c r="X103" s="39" t="s">
        <v>159</v>
      </c>
    </row>
    <row r="104" spans="2:24" x14ac:dyDescent="0.25">
      <c r="B104" s="30" t="s">
        <v>22</v>
      </c>
      <c r="C104" s="30">
        <v>30</v>
      </c>
      <c r="D104" s="30">
        <f t="shared" si="45"/>
        <v>1000</v>
      </c>
      <c r="E104" s="34">
        <v>1</v>
      </c>
      <c r="F104" s="31">
        <f t="shared" si="46"/>
        <v>51</v>
      </c>
      <c r="G104" s="30">
        <f t="shared" si="32"/>
        <v>30</v>
      </c>
      <c r="H104" s="31">
        <f t="shared" si="24"/>
        <v>0</v>
      </c>
      <c r="I104" s="32">
        <f t="shared" si="47"/>
        <v>0</v>
      </c>
      <c r="J104" s="31">
        <f>$C$26*N42*L42</f>
        <v>313.72380000000004</v>
      </c>
      <c r="K104" s="31">
        <f t="shared" si="27"/>
        <v>383.94971999999996</v>
      </c>
      <c r="L104" s="36">
        <f t="shared" si="49"/>
        <v>2545.2759534255151</v>
      </c>
      <c r="M104" s="31">
        <f t="shared" si="29"/>
        <v>0</v>
      </c>
      <c r="N104" s="36">
        <f t="shared" si="30"/>
        <v>3242.949473425515</v>
      </c>
      <c r="O104" s="36">
        <f t="shared" si="41"/>
        <v>0</v>
      </c>
      <c r="P104" s="36">
        <v>0</v>
      </c>
      <c r="Q104" s="36">
        <f t="shared" si="19"/>
        <v>33557.046979865801</v>
      </c>
      <c r="R104" s="36">
        <v>33557.046979865801</v>
      </c>
      <c r="S104" s="36">
        <f t="shared" si="42"/>
        <v>0</v>
      </c>
      <c r="T104" s="31">
        <f t="shared" si="20"/>
        <v>33557.046979865801</v>
      </c>
      <c r="X104" s="39" t="s">
        <v>160</v>
      </c>
    </row>
    <row r="105" spans="2:24" x14ac:dyDescent="0.25">
      <c r="I105" s="32">
        <f>MAX(I54:I104)</f>
        <v>0.39240000000000003</v>
      </c>
      <c r="N105" s="30">
        <f>MAX(N54:N104)</f>
        <v>5374.949473425515</v>
      </c>
      <c r="P105" s="30">
        <f>MAX(P53:P104)</f>
        <v>21499.79789370206</v>
      </c>
      <c r="Q105" s="30">
        <f>MAX(Q54:Q104)</f>
        <v>37719.824288316828</v>
      </c>
    </row>
    <row r="106" spans="2:24" x14ac:dyDescent="0.25">
      <c r="I106" s="32">
        <f>MIN(I54:I104)</f>
        <v>-0.68670000000000009</v>
      </c>
    </row>
    <row r="111" spans="2:24" x14ac:dyDescent="0.25">
      <c r="B111" s="66" t="s">
        <v>116</v>
      </c>
      <c r="C111" s="66"/>
      <c r="E111" s="61" t="s">
        <v>148</v>
      </c>
      <c r="F111" s="61"/>
      <c r="H111" s="58" t="s">
        <v>161</v>
      </c>
      <c r="I111" s="58"/>
      <c r="K111" s="72" t="s">
        <v>169</v>
      </c>
      <c r="L111" s="72"/>
      <c r="M111" s="72"/>
    </row>
    <row r="112" spans="2:24" x14ac:dyDescent="0.25">
      <c r="B112" s="40" t="s">
        <v>117</v>
      </c>
      <c r="C112" s="40">
        <v>66</v>
      </c>
      <c r="E112" s="40" t="s">
        <v>150</v>
      </c>
      <c r="F112" s="40" t="s">
        <v>149</v>
      </c>
      <c r="H112" s="45" t="s">
        <v>162</v>
      </c>
      <c r="I112" s="45">
        <v>0.254</v>
      </c>
      <c r="K112" s="69" t="s">
        <v>187</v>
      </c>
      <c r="L112" s="69" t="s">
        <v>185</v>
      </c>
      <c r="M112" s="69" t="s">
        <v>186</v>
      </c>
    </row>
    <row r="113" spans="2:13" x14ac:dyDescent="0.25">
      <c r="B113" s="40" t="s">
        <v>118</v>
      </c>
      <c r="C113" s="40">
        <v>90</v>
      </c>
      <c r="E113" s="40" t="s">
        <v>151</v>
      </c>
      <c r="F113" s="41">
        <v>0.95</v>
      </c>
      <c r="H113" s="45" t="s">
        <v>163</v>
      </c>
      <c r="I113" s="45">
        <v>0.1905</v>
      </c>
      <c r="K113" s="69" t="s">
        <v>170</v>
      </c>
      <c r="L113" s="69">
        <v>21499.79789370206</v>
      </c>
      <c r="M113" s="69">
        <f>L113/1000</f>
        <v>21.499797893702059</v>
      </c>
    </row>
    <row r="114" spans="2:13" x14ac:dyDescent="0.25">
      <c r="B114" s="40" t="s">
        <v>119</v>
      </c>
      <c r="C114" s="40">
        <v>160</v>
      </c>
      <c r="E114" s="40" t="s">
        <v>152</v>
      </c>
      <c r="F114" s="40" t="s">
        <v>153</v>
      </c>
      <c r="H114" s="45" t="s">
        <v>1</v>
      </c>
      <c r="I114" s="45">
        <v>31.29</v>
      </c>
      <c r="K114" s="69" t="s">
        <v>171</v>
      </c>
      <c r="L114" s="69">
        <f>L113/0.97</f>
        <v>22164.74009660006</v>
      </c>
      <c r="M114" s="69">
        <f t="shared" ref="M114:M118" si="51">L114/1000</f>
        <v>22.16474009660006</v>
      </c>
    </row>
    <row r="115" spans="2:13" x14ac:dyDescent="0.25">
      <c r="B115" s="40" t="s">
        <v>120</v>
      </c>
      <c r="C115" s="40">
        <v>3</v>
      </c>
      <c r="E115" s="40" t="s">
        <v>154</v>
      </c>
      <c r="F115" s="40" t="s">
        <v>155</v>
      </c>
      <c r="G115" s="24"/>
      <c r="H115" s="45" t="s">
        <v>164</v>
      </c>
      <c r="I115" s="45">
        <f>((I112/2)+I113)*2*3.14159265359</f>
        <v>1.9949113350296501</v>
      </c>
      <c r="K115" s="69" t="s">
        <v>172</v>
      </c>
      <c r="L115" s="69">
        <f>L114/0.94</f>
        <v>23579.510741063896</v>
      </c>
      <c r="M115" s="69">
        <f t="shared" si="51"/>
        <v>23.579510741063896</v>
      </c>
    </row>
    <row r="116" spans="2:13" x14ac:dyDescent="0.25">
      <c r="B116" s="40" t="s">
        <v>121</v>
      </c>
      <c r="C116" s="40">
        <v>12</v>
      </c>
      <c r="E116" s="40" t="s">
        <v>156</v>
      </c>
      <c r="F116" s="40">
        <v>400</v>
      </c>
      <c r="G116" s="24"/>
      <c r="H116" s="45" t="s">
        <v>165</v>
      </c>
      <c r="I116" s="45">
        <f>I114*60</f>
        <v>1877.3999999999999</v>
      </c>
      <c r="K116" s="69" t="s">
        <v>192</v>
      </c>
      <c r="L116" s="69">
        <f>L115/0.96</f>
        <v>24561.990355274891</v>
      </c>
      <c r="M116" s="69">
        <f t="shared" si="51"/>
        <v>24.56199035527489</v>
      </c>
    </row>
    <row r="117" spans="2:13" x14ac:dyDescent="0.25">
      <c r="B117" s="40" t="s">
        <v>122</v>
      </c>
      <c r="C117" s="40">
        <v>5000</v>
      </c>
      <c r="E117" s="40" t="s">
        <v>157</v>
      </c>
      <c r="F117" s="40" t="s">
        <v>158</v>
      </c>
      <c r="G117" s="24"/>
      <c r="H117" s="45" t="s">
        <v>166</v>
      </c>
      <c r="I117" s="45">
        <f>I116/I115</f>
        <v>941.09445719906955</v>
      </c>
      <c r="K117" s="69" t="s">
        <v>194</v>
      </c>
      <c r="L117" s="69">
        <f>L116/0.99</f>
        <v>24810.091267954434</v>
      </c>
      <c r="M117" s="69">
        <f t="shared" si="51"/>
        <v>24.810091267954434</v>
      </c>
    </row>
    <row r="118" spans="2:13" x14ac:dyDescent="0.25">
      <c r="B118" s="40" t="s">
        <v>123</v>
      </c>
      <c r="C118" s="40">
        <v>1500</v>
      </c>
      <c r="E118" s="42"/>
      <c r="F118" s="42"/>
      <c r="G118" s="24"/>
      <c r="H118" s="44"/>
      <c r="I118" s="44"/>
      <c r="K118" s="69" t="s">
        <v>184</v>
      </c>
      <c r="L118" s="69">
        <f>L117/0.95</f>
        <v>26115.885545215195</v>
      </c>
      <c r="M118" s="69">
        <f>L118/1000</f>
        <v>26.115885545215196</v>
      </c>
    </row>
    <row r="119" spans="2:13" x14ac:dyDescent="0.25">
      <c r="B119" s="40" t="s">
        <v>124</v>
      </c>
      <c r="C119" s="40">
        <v>185</v>
      </c>
      <c r="E119" s="62" t="s">
        <v>179</v>
      </c>
      <c r="F119" s="63"/>
      <c r="G119" s="24"/>
      <c r="H119" s="67" t="s">
        <v>195</v>
      </c>
      <c r="I119" s="68"/>
      <c r="K119" s="69"/>
      <c r="L119" s="69"/>
      <c r="M119" s="69"/>
    </row>
    <row r="120" spans="2:13" x14ac:dyDescent="0.25">
      <c r="B120" s="40" t="s">
        <v>125</v>
      </c>
      <c r="C120" s="40">
        <v>115</v>
      </c>
      <c r="E120" s="59" t="s">
        <v>180</v>
      </c>
      <c r="F120" s="60"/>
      <c r="G120" s="24"/>
      <c r="H120" s="45" t="s">
        <v>181</v>
      </c>
      <c r="I120" s="45">
        <v>160</v>
      </c>
      <c r="K120" s="69"/>
      <c r="L120" s="69"/>
      <c r="M120" s="69"/>
    </row>
    <row r="121" spans="2:13" x14ac:dyDescent="0.25">
      <c r="B121" s="40" t="s">
        <v>126</v>
      </c>
      <c r="C121" s="40">
        <v>9.9</v>
      </c>
      <c r="G121" s="24"/>
      <c r="H121" s="45" t="s">
        <v>174</v>
      </c>
      <c r="I121" s="45">
        <v>8000</v>
      </c>
      <c r="K121" s="69"/>
      <c r="L121" s="69"/>
      <c r="M121" s="69"/>
    </row>
    <row r="122" spans="2:13" x14ac:dyDescent="0.25">
      <c r="B122" s="59" t="s">
        <v>127</v>
      </c>
      <c r="C122" s="60"/>
      <c r="E122" s="62" t="s">
        <v>188</v>
      </c>
      <c r="F122" s="63"/>
      <c r="G122" s="24"/>
      <c r="H122" s="45" t="s">
        <v>173</v>
      </c>
      <c r="I122" s="45">
        <v>200</v>
      </c>
      <c r="K122" s="69"/>
      <c r="L122" s="69"/>
      <c r="M122" s="69"/>
    </row>
    <row r="123" spans="2:13" x14ac:dyDescent="0.25">
      <c r="B123" s="40" t="s">
        <v>128</v>
      </c>
      <c r="C123" s="40" t="s">
        <v>134</v>
      </c>
      <c r="E123" s="40" t="s">
        <v>189</v>
      </c>
      <c r="F123" s="40">
        <v>3.8</v>
      </c>
      <c r="G123" s="24"/>
      <c r="H123" s="45" t="s">
        <v>175</v>
      </c>
      <c r="I123" s="45">
        <v>370</v>
      </c>
      <c r="K123" s="69"/>
      <c r="L123" s="69"/>
      <c r="M123" s="69"/>
    </row>
    <row r="124" spans="2:13" x14ac:dyDescent="0.25">
      <c r="B124" s="40" t="s">
        <v>129</v>
      </c>
      <c r="C124" s="40" t="s">
        <v>135</v>
      </c>
      <c r="E124" s="40" t="s">
        <v>190</v>
      </c>
      <c r="F124" s="40">
        <v>4</v>
      </c>
      <c r="G124" s="24"/>
      <c r="H124" s="70" t="s">
        <v>151</v>
      </c>
      <c r="I124" s="71">
        <v>0.94</v>
      </c>
      <c r="K124" s="69"/>
      <c r="L124" s="69"/>
      <c r="M124" s="69"/>
    </row>
    <row r="125" spans="2:13" x14ac:dyDescent="0.25">
      <c r="B125" s="40" t="s">
        <v>130</v>
      </c>
      <c r="C125" s="40" t="s">
        <v>136</v>
      </c>
      <c r="E125" s="40" t="s">
        <v>191</v>
      </c>
      <c r="F125" s="41">
        <v>0.99</v>
      </c>
      <c r="G125" s="24"/>
      <c r="H125" s="45" t="s">
        <v>74</v>
      </c>
      <c r="I125" s="45">
        <v>28.2</v>
      </c>
    </row>
    <row r="126" spans="2:13" x14ac:dyDescent="0.25">
      <c r="B126" s="40" t="s">
        <v>131</v>
      </c>
      <c r="C126" s="40" t="s">
        <v>137</v>
      </c>
      <c r="E126" s="40" t="s">
        <v>193</v>
      </c>
      <c r="F126" s="41">
        <v>0.96</v>
      </c>
      <c r="G126" s="24"/>
      <c r="H126" s="45" t="s">
        <v>176</v>
      </c>
      <c r="I126" s="45" t="s">
        <v>177</v>
      </c>
    </row>
    <row r="127" spans="2:13" x14ac:dyDescent="0.25">
      <c r="B127" s="40" t="s">
        <v>132</v>
      </c>
      <c r="C127" s="40" t="s">
        <v>138</v>
      </c>
      <c r="E127" s="40"/>
      <c r="F127" s="40"/>
      <c r="G127" s="24"/>
      <c r="H127" s="45" t="s">
        <v>178</v>
      </c>
      <c r="I127" s="45">
        <v>6500</v>
      </c>
      <c r="L127" s="42"/>
    </row>
    <row r="128" spans="2:13" x14ac:dyDescent="0.25">
      <c r="B128" s="40" t="s">
        <v>133</v>
      </c>
      <c r="C128" s="40" t="s">
        <v>139</v>
      </c>
      <c r="E128" s="24"/>
      <c r="F128" s="24"/>
      <c r="G128" s="24"/>
      <c r="H128" s="45" t="s">
        <v>182</v>
      </c>
      <c r="I128" s="45" t="s">
        <v>183</v>
      </c>
    </row>
    <row r="129" spans="2:20" x14ac:dyDescent="0.25">
      <c r="B129" s="40" t="s">
        <v>141</v>
      </c>
      <c r="C129" s="40" t="s">
        <v>140</v>
      </c>
    </row>
    <row r="130" spans="2:20" x14ac:dyDescent="0.25">
      <c r="B130" s="40" t="s">
        <v>142</v>
      </c>
      <c r="C130" s="40">
        <v>3.65</v>
      </c>
      <c r="H130" s="58" t="s">
        <v>167</v>
      </c>
      <c r="I130" s="58"/>
    </row>
    <row r="131" spans="2:20" x14ac:dyDescent="0.25">
      <c r="B131" s="40" t="s">
        <v>143</v>
      </c>
      <c r="C131" s="40" t="s">
        <v>144</v>
      </c>
      <c r="E131" s="73" t="s">
        <v>196</v>
      </c>
      <c r="F131" s="73"/>
      <c r="H131" s="45" t="s">
        <v>168</v>
      </c>
      <c r="I131" s="46">
        <v>0.03</v>
      </c>
    </row>
    <row r="132" spans="2:20" x14ac:dyDescent="0.25">
      <c r="B132" s="40" t="s">
        <v>145</v>
      </c>
      <c r="C132" s="40" t="s">
        <v>146</v>
      </c>
      <c r="E132" s="74" t="s">
        <v>197</v>
      </c>
      <c r="F132" s="74">
        <f>533+F123+I125+25</f>
        <v>590</v>
      </c>
      <c r="H132" s="45"/>
      <c r="I132" s="45"/>
    </row>
    <row r="133" spans="2:20" x14ac:dyDescent="0.25">
      <c r="B133" s="40" t="s">
        <v>147</v>
      </c>
      <c r="C133" s="40">
        <v>999</v>
      </c>
      <c r="E133" s="74" t="s">
        <v>198</v>
      </c>
      <c r="F133" s="74" t="s">
        <v>199</v>
      </c>
    </row>
    <row r="134" spans="2:20" x14ac:dyDescent="0.25">
      <c r="B134" s="40"/>
      <c r="C134" s="40"/>
    </row>
    <row r="135" spans="2:20" x14ac:dyDescent="0.25">
      <c r="B135" s="40"/>
      <c r="C135" s="40"/>
    </row>
    <row r="136" spans="2:20" x14ac:dyDescent="0.25">
      <c r="B136" s="40"/>
      <c r="C136" s="40"/>
    </row>
    <row r="137" spans="2:20" x14ac:dyDescent="0.25">
      <c r="E137" s="75" t="s">
        <v>200</v>
      </c>
      <c r="F137" s="76"/>
      <c r="G137" s="77"/>
    </row>
    <row r="138" spans="2:20" x14ac:dyDescent="0.25">
      <c r="E138" s="78"/>
      <c r="F138" s="79"/>
      <c r="G138" s="80"/>
    </row>
    <row r="139" spans="2:20" x14ac:dyDescent="0.25">
      <c r="E139" s="81"/>
      <c r="F139" s="82"/>
      <c r="G139" s="83"/>
    </row>
    <row r="142" spans="2:20" x14ac:dyDescent="0.25">
      <c r="B142" s="64" t="s">
        <v>91</v>
      </c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</row>
    <row r="143" spans="2:20" x14ac:dyDescent="0.25">
      <c r="B143" s="27" t="s">
        <v>83</v>
      </c>
      <c r="C143" s="27" t="s">
        <v>70</v>
      </c>
      <c r="D143" s="28" t="s">
        <v>109</v>
      </c>
      <c r="E143" s="27" t="s">
        <v>69</v>
      </c>
      <c r="F143" s="27" t="s">
        <v>110</v>
      </c>
      <c r="G143" s="27" t="s">
        <v>72</v>
      </c>
      <c r="H143" s="27" t="s">
        <v>82</v>
      </c>
      <c r="I143" s="27" t="s">
        <v>80</v>
      </c>
      <c r="J143" s="27" t="s">
        <v>73</v>
      </c>
      <c r="K143" s="27" t="s">
        <v>75</v>
      </c>
      <c r="L143" s="27" t="s">
        <v>77</v>
      </c>
      <c r="M143" s="29" t="s">
        <v>114</v>
      </c>
      <c r="N143" s="27" t="s">
        <v>78</v>
      </c>
      <c r="O143" s="27" t="s">
        <v>79</v>
      </c>
      <c r="P143" s="27" t="s">
        <v>79</v>
      </c>
      <c r="Q143" s="27" t="s">
        <v>92</v>
      </c>
      <c r="R143" s="27" t="s">
        <v>92</v>
      </c>
      <c r="S143" s="27" t="s">
        <v>113</v>
      </c>
      <c r="T143" s="27" t="s">
        <v>100</v>
      </c>
    </row>
    <row r="144" spans="2:20" x14ac:dyDescent="0.25">
      <c r="B144" s="30" t="s">
        <v>71</v>
      </c>
      <c r="C144" s="30">
        <v>0</v>
      </c>
      <c r="D144" s="31">
        <f>C144</f>
        <v>0</v>
      </c>
      <c r="E144" s="30">
        <v>0</v>
      </c>
      <c r="F144" s="31">
        <f>E144</f>
        <v>0</v>
      </c>
      <c r="G144" s="30">
        <v>0</v>
      </c>
      <c r="H144" s="31">
        <f>0</f>
        <v>0</v>
      </c>
      <c r="I144" s="32">
        <f>(9.81/100)*H144</f>
        <v>0</v>
      </c>
      <c r="J144" s="31">
        <f>$C$26*N117*L117</f>
        <v>0</v>
      </c>
      <c r="K144" s="30">
        <v>0</v>
      </c>
      <c r="L144" s="30">
        <v>0</v>
      </c>
      <c r="M144" s="31">
        <f>0</f>
        <v>0</v>
      </c>
      <c r="N144" s="30">
        <f>J144+K144+L144</f>
        <v>0</v>
      </c>
      <c r="O144" s="30">
        <f t="shared" ref="O144:O175" si="52">N144*H144</f>
        <v>0</v>
      </c>
      <c r="P144" s="30">
        <v>0</v>
      </c>
      <c r="Q144" s="30">
        <f>T144-O144</f>
        <v>66000</v>
      </c>
      <c r="R144" s="30">
        <v>33557.046979865801</v>
      </c>
      <c r="S144" s="31">
        <f>0</f>
        <v>0</v>
      </c>
      <c r="T144" s="31">
        <v>66000</v>
      </c>
    </row>
    <row r="145" spans="2:20" x14ac:dyDescent="0.25">
      <c r="B145" s="30" t="s">
        <v>7</v>
      </c>
      <c r="C145" s="33">
        <v>3</v>
      </c>
      <c r="D145" s="30">
        <f>C145+D144</f>
        <v>3</v>
      </c>
      <c r="E145" s="34">
        <v>1</v>
      </c>
      <c r="F145" s="31">
        <v>1</v>
      </c>
      <c r="G145" s="35">
        <f>C145/E145</f>
        <v>3</v>
      </c>
      <c r="H145" s="31">
        <f>(G145-G144)/E145</f>
        <v>3</v>
      </c>
      <c r="I145" s="32">
        <f>(9.81/100)*H145</f>
        <v>0.29430000000000001</v>
      </c>
      <c r="J145" s="31">
        <f>$F$132*N27*L27</f>
        <v>347.274</v>
      </c>
      <c r="K145" s="31">
        <f>0.5*$C$27*$C$47*$M$27*(G145*G145)</f>
        <v>3.8394971999999994</v>
      </c>
      <c r="L145" s="36">
        <f>$C$26*9.81*+SIN($I$27)</f>
        <v>2545.2759534255151</v>
      </c>
      <c r="M145" s="31">
        <f>H145*$F$132</f>
        <v>1770</v>
      </c>
      <c r="N145" s="36">
        <f>J145+K145+L145+M145</f>
        <v>4666.3894506255147</v>
      </c>
      <c r="O145" s="36">
        <f>N145*H145</f>
        <v>13999.168351876544</v>
      </c>
      <c r="P145" s="36">
        <v>13385.517751876545</v>
      </c>
      <c r="Q145" s="36">
        <f t="shared" ref="Q145:Q195" si="53">T145-O145</f>
        <v>52000.831648123458</v>
      </c>
      <c r="R145" s="36">
        <v>24959.529227989256</v>
      </c>
      <c r="S145" s="36">
        <f t="shared" ref="S145:S195" si="54">O145/E145</f>
        <v>13999.168351876544</v>
      </c>
      <c r="T145" s="31">
        <v>66000</v>
      </c>
    </row>
    <row r="146" spans="2:20" x14ac:dyDescent="0.25">
      <c r="B146" s="30" t="s">
        <v>7</v>
      </c>
      <c r="C146" s="33">
        <v>6</v>
      </c>
      <c r="D146" s="30">
        <f t="shared" ref="D146:D159" si="55">C146+D145</f>
        <v>9</v>
      </c>
      <c r="E146" s="34">
        <v>1</v>
      </c>
      <c r="F146" s="31">
        <v>2</v>
      </c>
      <c r="G146" s="35">
        <f t="shared" ref="G146:G150" si="56">C146/E146</f>
        <v>6</v>
      </c>
      <c r="H146" s="31">
        <f t="shared" ref="H146:H195" si="57">(G146-G145)/E146</f>
        <v>3</v>
      </c>
      <c r="I146" s="32">
        <f t="shared" ref="I146:I184" si="58">(9.81/100)*H146</f>
        <v>0.29430000000000001</v>
      </c>
      <c r="J146" s="31">
        <v>347.274</v>
      </c>
      <c r="K146" s="31">
        <f t="shared" ref="K146:K195" si="59">0.5*$C$27*$C$47*$M$27*(G146*G146)</f>
        <v>15.357988799999998</v>
      </c>
      <c r="L146" s="36">
        <f t="shared" ref="L146:L157" si="60">$C$26*9.81*+SIN($I$27)</f>
        <v>2545.2759534255151</v>
      </c>
      <c r="M146" s="31">
        <f t="shared" ref="M146:M195" si="61">H146*$F$132</f>
        <v>1770</v>
      </c>
      <c r="N146" s="36">
        <f t="shared" ref="N146:N195" si="62">J146+K146+L146+M146</f>
        <v>4677.9079422255145</v>
      </c>
      <c r="O146" s="36">
        <f t="shared" ref="O146:O195" si="63">N146*H146</f>
        <v>14033.723826676543</v>
      </c>
      <c r="P146" s="36">
        <v>13420.073226676544</v>
      </c>
      <c r="Q146" s="36">
        <f t="shared" si="53"/>
        <v>51966.276173323458</v>
      </c>
      <c r="R146" s="36">
        <v>24924.973753189253</v>
      </c>
      <c r="S146" s="36">
        <f t="shared" si="54"/>
        <v>14033.723826676543</v>
      </c>
      <c r="T146" s="31">
        <v>66000</v>
      </c>
    </row>
    <row r="147" spans="2:20" x14ac:dyDescent="0.25">
      <c r="B147" s="30" t="s">
        <v>7</v>
      </c>
      <c r="C147" s="33">
        <v>9</v>
      </c>
      <c r="D147" s="30">
        <f t="shared" si="55"/>
        <v>18</v>
      </c>
      <c r="E147" s="34">
        <v>1</v>
      </c>
      <c r="F147" s="31">
        <v>3</v>
      </c>
      <c r="G147" s="35">
        <f t="shared" si="56"/>
        <v>9</v>
      </c>
      <c r="H147" s="31">
        <f t="shared" si="57"/>
        <v>3</v>
      </c>
      <c r="I147" s="32">
        <f t="shared" si="58"/>
        <v>0.29430000000000001</v>
      </c>
      <c r="J147" s="31">
        <v>347.274</v>
      </c>
      <c r="K147" s="31">
        <f t="shared" si="59"/>
        <v>34.555474799999999</v>
      </c>
      <c r="L147" s="36">
        <f t="shared" si="60"/>
        <v>2545.2759534255151</v>
      </c>
      <c r="M147" s="31">
        <f t="shared" si="61"/>
        <v>1770</v>
      </c>
      <c r="N147" s="36">
        <f t="shared" si="62"/>
        <v>4697.1054282255154</v>
      </c>
      <c r="O147" s="36">
        <f t="shared" si="63"/>
        <v>14091.316284676546</v>
      </c>
      <c r="P147" s="36">
        <v>13477.665684676547</v>
      </c>
      <c r="Q147" s="36">
        <f t="shared" si="53"/>
        <v>51908.683715323452</v>
      </c>
      <c r="R147" s="36">
        <v>24867.381295189254</v>
      </c>
      <c r="S147" s="36">
        <f t="shared" si="54"/>
        <v>14091.316284676546</v>
      </c>
      <c r="T147" s="31">
        <v>66000</v>
      </c>
    </row>
    <row r="148" spans="2:20" x14ac:dyDescent="0.25">
      <c r="B148" s="30" t="s">
        <v>7</v>
      </c>
      <c r="C148" s="33">
        <v>12</v>
      </c>
      <c r="D148" s="30">
        <f t="shared" si="55"/>
        <v>30</v>
      </c>
      <c r="E148" s="34">
        <v>1</v>
      </c>
      <c r="F148" s="31">
        <v>4</v>
      </c>
      <c r="G148" s="35">
        <f t="shared" si="56"/>
        <v>12</v>
      </c>
      <c r="H148" s="31">
        <f t="shared" si="57"/>
        <v>3</v>
      </c>
      <c r="I148" s="32">
        <f t="shared" si="58"/>
        <v>0.29430000000000001</v>
      </c>
      <c r="J148" s="31">
        <v>347.274</v>
      </c>
      <c r="K148" s="31">
        <f t="shared" si="59"/>
        <v>61.43195519999999</v>
      </c>
      <c r="L148" s="36">
        <f t="shared" si="60"/>
        <v>2545.2759534255151</v>
      </c>
      <c r="M148" s="31">
        <f t="shared" si="61"/>
        <v>1770</v>
      </c>
      <c r="N148" s="36">
        <f t="shared" si="62"/>
        <v>4723.9819086255156</v>
      </c>
      <c r="O148" s="36">
        <f t="shared" si="63"/>
        <v>14171.945725876547</v>
      </c>
      <c r="P148" s="36">
        <v>13558.295125876546</v>
      </c>
      <c r="Q148" s="36">
        <f t="shared" si="53"/>
        <v>51828.054274123453</v>
      </c>
      <c r="R148" s="36">
        <v>24786.751853989255</v>
      </c>
      <c r="S148" s="36">
        <f t="shared" si="54"/>
        <v>14171.945725876547</v>
      </c>
      <c r="T148" s="31">
        <v>66000</v>
      </c>
    </row>
    <row r="149" spans="2:20" x14ac:dyDescent="0.25">
      <c r="B149" s="30" t="s">
        <v>7</v>
      </c>
      <c r="C149" s="33">
        <v>15</v>
      </c>
      <c r="D149" s="30">
        <f t="shared" si="55"/>
        <v>45</v>
      </c>
      <c r="E149" s="34">
        <v>1</v>
      </c>
      <c r="F149" s="31">
        <v>5</v>
      </c>
      <c r="G149" s="35">
        <f t="shared" si="56"/>
        <v>15</v>
      </c>
      <c r="H149" s="31">
        <f t="shared" si="57"/>
        <v>3</v>
      </c>
      <c r="I149" s="32">
        <f t="shared" si="58"/>
        <v>0.29430000000000001</v>
      </c>
      <c r="J149" s="31">
        <v>347.274</v>
      </c>
      <c r="K149" s="31">
        <f t="shared" si="59"/>
        <v>95.987429999999989</v>
      </c>
      <c r="L149" s="36">
        <f t="shared" si="60"/>
        <v>2545.2759534255151</v>
      </c>
      <c r="M149" s="31">
        <f t="shared" si="61"/>
        <v>1770</v>
      </c>
      <c r="N149" s="36">
        <f t="shared" si="62"/>
        <v>4758.5373834255151</v>
      </c>
      <c r="O149" s="36">
        <f t="shared" si="63"/>
        <v>14275.612150276545</v>
      </c>
      <c r="P149" s="36">
        <v>13661.961550276546</v>
      </c>
      <c r="Q149" s="36">
        <f t="shared" si="53"/>
        <v>51724.387849723455</v>
      </c>
      <c r="R149" s="36">
        <v>24683.085429589257</v>
      </c>
      <c r="S149" s="36">
        <f t="shared" si="54"/>
        <v>14275.612150276545</v>
      </c>
      <c r="T149" s="31">
        <v>66000</v>
      </c>
    </row>
    <row r="150" spans="2:20" x14ac:dyDescent="0.25">
      <c r="B150" s="30" t="s">
        <v>7</v>
      </c>
      <c r="C150" s="33">
        <v>18</v>
      </c>
      <c r="D150" s="30">
        <f t="shared" si="55"/>
        <v>63</v>
      </c>
      <c r="E150" s="34">
        <v>1</v>
      </c>
      <c r="F150" s="31">
        <v>6</v>
      </c>
      <c r="G150" s="35">
        <f t="shared" si="56"/>
        <v>18</v>
      </c>
      <c r="H150" s="31">
        <f t="shared" si="57"/>
        <v>3</v>
      </c>
      <c r="I150" s="32">
        <f t="shared" si="58"/>
        <v>0.29430000000000001</v>
      </c>
      <c r="J150" s="31">
        <v>347.274</v>
      </c>
      <c r="K150" s="31">
        <f t="shared" si="59"/>
        <v>138.2218992</v>
      </c>
      <c r="L150" s="36">
        <f t="shared" si="60"/>
        <v>2545.2759534255151</v>
      </c>
      <c r="M150" s="31">
        <f t="shared" si="61"/>
        <v>1770</v>
      </c>
      <c r="N150" s="36">
        <f t="shared" si="62"/>
        <v>4800.7718526255157</v>
      </c>
      <c r="O150" s="36">
        <f t="shared" si="63"/>
        <v>14402.315557876547</v>
      </c>
      <c r="P150" s="36">
        <v>13788.664957876546</v>
      </c>
      <c r="Q150" s="36">
        <f t="shared" si="53"/>
        <v>51597.684442123456</v>
      </c>
      <c r="R150" s="36">
        <v>24556.382021989255</v>
      </c>
      <c r="S150" s="36">
        <f t="shared" si="54"/>
        <v>14402.315557876547</v>
      </c>
      <c r="T150" s="31">
        <v>66000</v>
      </c>
    </row>
    <row r="151" spans="2:20" x14ac:dyDescent="0.25">
      <c r="B151" s="30" t="s">
        <v>7</v>
      </c>
      <c r="C151" s="33">
        <v>21</v>
      </c>
      <c r="D151" s="30">
        <f t="shared" si="55"/>
        <v>84</v>
      </c>
      <c r="E151" s="34">
        <v>1</v>
      </c>
      <c r="F151" s="31">
        <f>E151+F150</f>
        <v>7</v>
      </c>
      <c r="G151" s="35">
        <f>C151/E151</f>
        <v>21</v>
      </c>
      <c r="H151" s="31">
        <f t="shared" si="57"/>
        <v>3</v>
      </c>
      <c r="I151" s="32">
        <f t="shared" si="58"/>
        <v>0.29430000000000001</v>
      </c>
      <c r="J151" s="31">
        <v>347.274</v>
      </c>
      <c r="K151" s="31">
        <f t="shared" si="59"/>
        <v>188.13536279999997</v>
      </c>
      <c r="L151" s="36">
        <f t="shared" si="60"/>
        <v>2545.2759534255151</v>
      </c>
      <c r="M151" s="31">
        <f t="shared" si="61"/>
        <v>1770</v>
      </c>
      <c r="N151" s="36">
        <f t="shared" si="62"/>
        <v>4850.6853162255156</v>
      </c>
      <c r="O151" s="36">
        <f t="shared" si="63"/>
        <v>14552.055948676547</v>
      </c>
      <c r="P151" s="36">
        <v>13938.405348676544</v>
      </c>
      <c r="Q151" s="36">
        <f t="shared" si="53"/>
        <v>51447.944051323451</v>
      </c>
      <c r="R151" s="36">
        <v>24406.641631189257</v>
      </c>
      <c r="S151" s="36">
        <f t="shared" si="54"/>
        <v>14552.055948676547</v>
      </c>
      <c r="T151" s="31">
        <v>66000</v>
      </c>
    </row>
    <row r="152" spans="2:20" x14ac:dyDescent="0.25">
      <c r="B152" s="30" t="s">
        <v>7</v>
      </c>
      <c r="C152" s="33">
        <v>23</v>
      </c>
      <c r="D152" s="30">
        <f t="shared" si="55"/>
        <v>107</v>
      </c>
      <c r="E152" s="34">
        <v>1</v>
      </c>
      <c r="F152" s="31">
        <f t="shared" ref="F152:F159" si="64">E152+F151</f>
        <v>8</v>
      </c>
      <c r="G152" s="35">
        <f>C152/E152</f>
        <v>23</v>
      </c>
      <c r="H152" s="31">
        <f t="shared" si="57"/>
        <v>2</v>
      </c>
      <c r="I152" s="32">
        <f t="shared" si="58"/>
        <v>0.19620000000000001</v>
      </c>
      <c r="J152" s="31">
        <v>347.274</v>
      </c>
      <c r="K152" s="31">
        <f t="shared" si="59"/>
        <v>225.67711319999998</v>
      </c>
      <c r="L152" s="36">
        <f t="shared" si="60"/>
        <v>2545.2759534255151</v>
      </c>
      <c r="M152" s="31">
        <f t="shared" si="61"/>
        <v>1180</v>
      </c>
      <c r="N152" s="36">
        <f t="shared" si="62"/>
        <v>4298.2270666255154</v>
      </c>
      <c r="O152" s="36">
        <f t="shared" si="63"/>
        <v>8596.4541332510307</v>
      </c>
      <c r="P152" s="36">
        <v>8301.3537332510314</v>
      </c>
      <c r="Q152" s="36">
        <f t="shared" si="53"/>
        <v>57403.545866748973</v>
      </c>
      <c r="R152" s="36">
        <v>27383.69324661477</v>
      </c>
      <c r="S152" s="36">
        <f t="shared" si="54"/>
        <v>8596.4541332510307</v>
      </c>
      <c r="T152" s="31">
        <v>66000</v>
      </c>
    </row>
    <row r="153" spans="2:20" x14ac:dyDescent="0.25">
      <c r="B153" s="30" t="s">
        <v>7</v>
      </c>
      <c r="C153" s="33">
        <v>25</v>
      </c>
      <c r="D153" s="30">
        <f t="shared" si="55"/>
        <v>132</v>
      </c>
      <c r="E153" s="34">
        <v>1</v>
      </c>
      <c r="F153" s="31">
        <f t="shared" si="64"/>
        <v>9</v>
      </c>
      <c r="G153" s="35">
        <f>C153/E153</f>
        <v>25</v>
      </c>
      <c r="H153" s="31">
        <f t="shared" si="57"/>
        <v>2</v>
      </c>
      <c r="I153" s="32">
        <f t="shared" si="58"/>
        <v>0.19620000000000001</v>
      </c>
      <c r="J153" s="31">
        <v>347.274</v>
      </c>
      <c r="K153" s="31">
        <f t="shared" si="59"/>
        <v>266.63174999999995</v>
      </c>
      <c r="L153" s="36">
        <f t="shared" si="60"/>
        <v>2545.2759534255151</v>
      </c>
      <c r="M153" s="31">
        <f t="shared" si="61"/>
        <v>1180</v>
      </c>
      <c r="N153" s="36">
        <f t="shared" si="62"/>
        <v>4339.1817034255146</v>
      </c>
      <c r="O153" s="36">
        <f t="shared" si="63"/>
        <v>8678.3634068510291</v>
      </c>
      <c r="P153" s="36">
        <v>8383.2630068510298</v>
      </c>
      <c r="Q153" s="36">
        <f t="shared" si="53"/>
        <v>57321.636593148971</v>
      </c>
      <c r="R153" s="36">
        <v>27301.783973014772</v>
      </c>
      <c r="S153" s="36">
        <f t="shared" si="54"/>
        <v>8678.3634068510291</v>
      </c>
      <c r="T153" s="31">
        <v>66000</v>
      </c>
    </row>
    <row r="154" spans="2:20" x14ac:dyDescent="0.25">
      <c r="B154" s="30" t="s">
        <v>7</v>
      </c>
      <c r="C154" s="33">
        <v>18</v>
      </c>
      <c r="D154" s="30">
        <f t="shared" si="55"/>
        <v>150</v>
      </c>
      <c r="E154" s="34">
        <v>1</v>
      </c>
      <c r="F154" s="31">
        <f t="shared" si="64"/>
        <v>10</v>
      </c>
      <c r="G154" s="35">
        <f>C154/E154</f>
        <v>18</v>
      </c>
      <c r="H154" s="31">
        <f t="shared" si="57"/>
        <v>-7</v>
      </c>
      <c r="I154" s="32">
        <f t="shared" si="58"/>
        <v>-0.68670000000000009</v>
      </c>
      <c r="J154" s="31">
        <v>347.274</v>
      </c>
      <c r="K154" s="31">
        <f t="shared" si="59"/>
        <v>138.2218992</v>
      </c>
      <c r="L154" s="36">
        <f t="shared" si="60"/>
        <v>2545.2759534255151</v>
      </c>
      <c r="M154" s="31">
        <f t="shared" si="61"/>
        <v>-4130</v>
      </c>
      <c r="N154" s="36">
        <f t="shared" si="62"/>
        <v>-1099.2281473744847</v>
      </c>
      <c r="O154" s="36">
        <f t="shared" si="63"/>
        <v>7694.5970316213934</v>
      </c>
      <c r="P154" s="36">
        <v>5136.4484316213939</v>
      </c>
      <c r="Q154" s="36">
        <f t="shared" si="53"/>
        <v>58305.402968378607</v>
      </c>
      <c r="R154" s="36">
        <v>54488.598548244408</v>
      </c>
      <c r="S154" s="36">
        <f t="shared" si="54"/>
        <v>7694.5970316213934</v>
      </c>
      <c r="T154" s="31">
        <v>66000</v>
      </c>
    </row>
    <row r="155" spans="2:20" x14ac:dyDescent="0.25">
      <c r="B155" s="37" t="s">
        <v>8</v>
      </c>
      <c r="C155" s="33">
        <v>20</v>
      </c>
      <c r="D155" s="30">
        <f t="shared" si="55"/>
        <v>170</v>
      </c>
      <c r="E155" s="34">
        <v>1</v>
      </c>
      <c r="F155" s="31">
        <f t="shared" si="64"/>
        <v>11</v>
      </c>
      <c r="G155" s="35">
        <f t="shared" ref="G155:G195" si="65">C155/E155</f>
        <v>20</v>
      </c>
      <c r="H155" s="31">
        <f t="shared" si="57"/>
        <v>2</v>
      </c>
      <c r="I155" s="32">
        <f t="shared" si="58"/>
        <v>0.19620000000000001</v>
      </c>
      <c r="J155" s="31">
        <v>347.274</v>
      </c>
      <c r="K155" s="31">
        <f t="shared" si="59"/>
        <v>170.64431999999999</v>
      </c>
      <c r="L155" s="36">
        <f t="shared" si="60"/>
        <v>2545.2759534255151</v>
      </c>
      <c r="M155" s="31">
        <f t="shared" si="61"/>
        <v>1180</v>
      </c>
      <c r="N155" s="36">
        <f t="shared" si="62"/>
        <v>4243.1942734255153</v>
      </c>
      <c r="O155" s="36">
        <f t="shared" si="63"/>
        <v>8486.3885468510307</v>
      </c>
      <c r="P155" s="36">
        <v>8191.2881468510304</v>
      </c>
      <c r="Q155" s="36">
        <f t="shared" si="53"/>
        <v>57513.611453148973</v>
      </c>
      <c r="R155" s="36">
        <v>27493.75883301477</v>
      </c>
      <c r="S155" s="36">
        <f t="shared" si="54"/>
        <v>8486.3885468510307</v>
      </c>
      <c r="T155" s="31">
        <v>66000</v>
      </c>
    </row>
    <row r="156" spans="2:20" x14ac:dyDescent="0.25">
      <c r="B156" s="37" t="s">
        <v>8</v>
      </c>
      <c r="C156" s="33">
        <v>22</v>
      </c>
      <c r="D156" s="30">
        <f t="shared" si="55"/>
        <v>192</v>
      </c>
      <c r="E156" s="34">
        <v>1</v>
      </c>
      <c r="F156" s="31">
        <f t="shared" si="64"/>
        <v>12</v>
      </c>
      <c r="G156" s="35">
        <f t="shared" si="65"/>
        <v>22</v>
      </c>
      <c r="H156" s="31">
        <f t="shared" si="57"/>
        <v>2</v>
      </c>
      <c r="I156" s="32">
        <f t="shared" si="58"/>
        <v>0.19620000000000001</v>
      </c>
      <c r="J156" s="31">
        <v>347.274</v>
      </c>
      <c r="K156" s="31">
        <f t="shared" si="59"/>
        <v>206.47962719999998</v>
      </c>
      <c r="L156" s="36">
        <f t="shared" si="60"/>
        <v>2545.2759534255151</v>
      </c>
      <c r="M156" s="31">
        <f t="shared" si="61"/>
        <v>1180</v>
      </c>
      <c r="N156" s="36">
        <f t="shared" si="62"/>
        <v>4279.0295806255153</v>
      </c>
      <c r="O156" s="36">
        <f t="shared" si="63"/>
        <v>8558.0591612510307</v>
      </c>
      <c r="P156" s="36">
        <v>8262.9587612510295</v>
      </c>
      <c r="Q156" s="36">
        <f t="shared" si="53"/>
        <v>57441.940838748968</v>
      </c>
      <c r="R156" s="36">
        <v>27422.088218614772</v>
      </c>
      <c r="S156" s="36">
        <f t="shared" si="54"/>
        <v>8558.0591612510307</v>
      </c>
      <c r="T156" s="31">
        <v>66000</v>
      </c>
    </row>
    <row r="157" spans="2:20" x14ac:dyDescent="0.25">
      <c r="B157" s="37" t="s">
        <v>8</v>
      </c>
      <c r="C157" s="30">
        <v>26</v>
      </c>
      <c r="D157" s="30">
        <f t="shared" si="55"/>
        <v>218</v>
      </c>
      <c r="E157" s="34">
        <v>1</v>
      </c>
      <c r="F157" s="31">
        <f t="shared" si="64"/>
        <v>13</v>
      </c>
      <c r="G157" s="35">
        <f t="shared" si="65"/>
        <v>26</v>
      </c>
      <c r="H157" s="31">
        <f t="shared" si="57"/>
        <v>4</v>
      </c>
      <c r="I157" s="32">
        <f t="shared" si="58"/>
        <v>0.39240000000000003</v>
      </c>
      <c r="J157" s="31">
        <v>347.274</v>
      </c>
      <c r="K157" s="31">
        <f t="shared" si="59"/>
        <v>288.38890079999999</v>
      </c>
      <c r="L157" s="36">
        <f t="shared" si="60"/>
        <v>2545.2759534255151</v>
      </c>
      <c r="M157" s="31">
        <f t="shared" si="61"/>
        <v>2360</v>
      </c>
      <c r="N157" s="36">
        <f t="shared" si="62"/>
        <v>5540.9388542255147</v>
      </c>
      <c r="O157" s="36">
        <f t="shared" si="63"/>
        <v>22163.755416902059</v>
      </c>
      <c r="P157" s="36">
        <v>21117.55461690206</v>
      </c>
      <c r="Q157" s="36">
        <f t="shared" si="53"/>
        <v>43836.244583097941</v>
      </c>
      <c r="R157" s="36">
        <v>20951.492362963741</v>
      </c>
      <c r="S157" s="36">
        <f t="shared" si="54"/>
        <v>22163.755416902059</v>
      </c>
      <c r="T157" s="31">
        <v>66000</v>
      </c>
    </row>
    <row r="158" spans="2:20" x14ac:dyDescent="0.25">
      <c r="B158" s="30" t="s">
        <v>9</v>
      </c>
      <c r="C158" s="38">
        <v>28</v>
      </c>
      <c r="D158" s="30">
        <f t="shared" si="55"/>
        <v>246</v>
      </c>
      <c r="E158" s="34">
        <v>1</v>
      </c>
      <c r="F158" s="31">
        <f t="shared" si="64"/>
        <v>14</v>
      </c>
      <c r="G158" s="35">
        <f t="shared" si="65"/>
        <v>28</v>
      </c>
      <c r="H158" s="31">
        <f t="shared" si="57"/>
        <v>2</v>
      </c>
      <c r="I158" s="32">
        <f t="shared" si="58"/>
        <v>0.19620000000000001</v>
      </c>
      <c r="J158" s="31">
        <v>347.274</v>
      </c>
      <c r="K158" s="31">
        <f t="shared" si="59"/>
        <v>334.46286719999995</v>
      </c>
      <c r="L158" s="31">
        <f>$C$26*9.81*-SIN($I$29)</f>
        <v>2545.2759534255151</v>
      </c>
      <c r="M158" s="31">
        <f t="shared" si="61"/>
        <v>1180</v>
      </c>
      <c r="N158" s="30">
        <f t="shared" si="62"/>
        <v>4407.0128206255149</v>
      </c>
      <c r="O158" s="30">
        <f t="shared" si="63"/>
        <v>8814.0256412510298</v>
      </c>
      <c r="P158" s="30">
        <v>8518.9252412510305</v>
      </c>
      <c r="Q158" s="30">
        <f t="shared" si="53"/>
        <v>57185.974358748972</v>
      </c>
      <c r="R158" s="30">
        <v>27166.121738614769</v>
      </c>
      <c r="S158" s="31">
        <f t="shared" si="54"/>
        <v>8814.0256412510298</v>
      </c>
      <c r="T158" s="31">
        <v>66000</v>
      </c>
    </row>
    <row r="159" spans="2:20" x14ac:dyDescent="0.25">
      <c r="B159" s="30" t="s">
        <v>9</v>
      </c>
      <c r="C159" s="30">
        <v>26</v>
      </c>
      <c r="D159" s="30">
        <f t="shared" si="55"/>
        <v>272</v>
      </c>
      <c r="E159" s="34">
        <v>1</v>
      </c>
      <c r="F159" s="31">
        <f t="shared" si="64"/>
        <v>15</v>
      </c>
      <c r="G159" s="35">
        <f t="shared" si="65"/>
        <v>26</v>
      </c>
      <c r="H159" s="31">
        <f t="shared" si="57"/>
        <v>-2</v>
      </c>
      <c r="I159" s="32">
        <f t="shared" si="58"/>
        <v>-0.19620000000000001</v>
      </c>
      <c r="J159" s="31">
        <v>347.274</v>
      </c>
      <c r="K159" s="31">
        <f t="shared" si="59"/>
        <v>288.38890079999999</v>
      </c>
      <c r="L159" s="31">
        <f t="shared" ref="L159:L186" si="66">$C$26*9.81*-SIN($I$29)</f>
        <v>2545.2759534255151</v>
      </c>
      <c r="M159" s="31">
        <f t="shared" si="61"/>
        <v>-1180</v>
      </c>
      <c r="N159" s="30">
        <f t="shared" si="62"/>
        <v>2000.9388542255151</v>
      </c>
      <c r="O159" s="30">
        <f t="shared" si="63"/>
        <v>-4001.8777084510302</v>
      </c>
      <c r="P159" s="30">
        <v>-4162.77730845103</v>
      </c>
      <c r="Q159" s="30">
        <f t="shared" si="53"/>
        <v>70001.877708451037</v>
      </c>
      <c r="R159" s="30">
        <v>39847.824288316828</v>
      </c>
      <c r="S159" s="31">
        <f t="shared" si="54"/>
        <v>-4001.8777084510302</v>
      </c>
      <c r="T159" s="31">
        <v>66000</v>
      </c>
    </row>
    <row r="160" spans="2:20" x14ac:dyDescent="0.25">
      <c r="B160" s="30" t="s">
        <v>10</v>
      </c>
      <c r="C160" s="30">
        <v>26</v>
      </c>
      <c r="D160" s="30">
        <f>C160+D159</f>
        <v>298</v>
      </c>
      <c r="E160" s="34">
        <v>1</v>
      </c>
      <c r="F160" s="31">
        <f>E160+F159</f>
        <v>16</v>
      </c>
      <c r="G160" s="35">
        <f t="shared" si="65"/>
        <v>26</v>
      </c>
      <c r="H160" s="31">
        <f t="shared" si="57"/>
        <v>0</v>
      </c>
      <c r="I160" s="32">
        <f t="shared" si="58"/>
        <v>0</v>
      </c>
      <c r="J160" s="31">
        <v>347.274</v>
      </c>
      <c r="K160" s="31">
        <f t="shared" si="59"/>
        <v>288.38890079999999</v>
      </c>
      <c r="L160" s="31">
        <f t="shared" si="66"/>
        <v>2545.2759534255151</v>
      </c>
      <c r="M160" s="31">
        <f t="shared" si="61"/>
        <v>0</v>
      </c>
      <c r="N160" s="30">
        <f t="shared" si="62"/>
        <v>3180.9388542255151</v>
      </c>
      <c r="O160" s="30">
        <f t="shared" si="63"/>
        <v>0</v>
      </c>
      <c r="P160" s="30">
        <v>0</v>
      </c>
      <c r="Q160" s="30">
        <f t="shared" si="53"/>
        <v>66000</v>
      </c>
      <c r="R160" s="30">
        <v>33557.046979865801</v>
      </c>
      <c r="S160" s="31">
        <f t="shared" si="54"/>
        <v>0</v>
      </c>
      <c r="T160" s="31">
        <v>66000</v>
      </c>
    </row>
    <row r="161" spans="2:20" x14ac:dyDescent="0.25">
      <c r="B161" s="30" t="s">
        <v>10</v>
      </c>
      <c r="C161" s="30">
        <v>30</v>
      </c>
      <c r="D161" s="30">
        <f t="shared" ref="D161:D195" si="67">C161+D160</f>
        <v>328</v>
      </c>
      <c r="E161" s="34">
        <v>1</v>
      </c>
      <c r="F161" s="31">
        <f t="shared" ref="F161:F195" si="68">E161+F160</f>
        <v>17</v>
      </c>
      <c r="G161" s="35">
        <f t="shared" si="65"/>
        <v>30</v>
      </c>
      <c r="H161" s="31">
        <f t="shared" si="57"/>
        <v>4</v>
      </c>
      <c r="I161" s="32">
        <f t="shared" si="58"/>
        <v>0.39240000000000003</v>
      </c>
      <c r="J161" s="31">
        <v>347.274</v>
      </c>
      <c r="K161" s="31">
        <f t="shared" si="59"/>
        <v>383.94971999999996</v>
      </c>
      <c r="L161" s="31">
        <f t="shared" si="66"/>
        <v>2545.2759534255151</v>
      </c>
      <c r="M161" s="31">
        <f t="shared" si="61"/>
        <v>2360</v>
      </c>
      <c r="N161" s="30">
        <f t="shared" si="62"/>
        <v>5636.4996734255146</v>
      </c>
      <c r="O161" s="30">
        <f t="shared" si="63"/>
        <v>22545.998693702059</v>
      </c>
      <c r="P161" s="30">
        <v>21499.79789370206</v>
      </c>
      <c r="Q161" s="30">
        <f t="shared" si="53"/>
        <v>43454.001306297941</v>
      </c>
      <c r="R161" s="30">
        <v>20569.249086163742</v>
      </c>
      <c r="S161" s="31">
        <f t="shared" si="54"/>
        <v>22545.998693702059</v>
      </c>
      <c r="T161" s="31">
        <v>66000</v>
      </c>
    </row>
    <row r="162" spans="2:20" x14ac:dyDescent="0.25">
      <c r="B162" s="30" t="s">
        <v>10</v>
      </c>
      <c r="C162" s="30">
        <v>24</v>
      </c>
      <c r="D162" s="30">
        <f t="shared" si="67"/>
        <v>352</v>
      </c>
      <c r="E162" s="34">
        <v>1</v>
      </c>
      <c r="F162" s="31">
        <f t="shared" si="68"/>
        <v>18</v>
      </c>
      <c r="G162" s="35">
        <f t="shared" si="65"/>
        <v>24</v>
      </c>
      <c r="H162" s="31">
        <f t="shared" si="57"/>
        <v>-6</v>
      </c>
      <c r="I162" s="32">
        <f t="shared" si="58"/>
        <v>-0.58860000000000001</v>
      </c>
      <c r="J162" s="31">
        <v>347.274</v>
      </c>
      <c r="K162" s="31">
        <f t="shared" si="59"/>
        <v>245.72782079999996</v>
      </c>
      <c r="L162" s="31">
        <f t="shared" si="66"/>
        <v>2545.2759534255151</v>
      </c>
      <c r="M162" s="31">
        <f t="shared" si="61"/>
        <v>-3540</v>
      </c>
      <c r="N162" s="30">
        <f t="shared" si="62"/>
        <v>-401.7222257744852</v>
      </c>
      <c r="O162" s="30">
        <f t="shared" si="63"/>
        <v>2410.3333546469112</v>
      </c>
      <c r="P162" s="30">
        <v>559.63455464690924</v>
      </c>
      <c r="Q162" s="30">
        <f t="shared" si="53"/>
        <v>63589.666645353092</v>
      </c>
      <c r="R162" s="30">
        <v>52149.412425218892</v>
      </c>
      <c r="S162" s="31">
        <f t="shared" si="54"/>
        <v>2410.3333546469112</v>
      </c>
      <c r="T162" s="31">
        <v>66000</v>
      </c>
    </row>
    <row r="163" spans="2:20" x14ac:dyDescent="0.25">
      <c r="B163" s="30" t="s">
        <v>11</v>
      </c>
      <c r="C163" s="30">
        <v>18</v>
      </c>
      <c r="D163" s="30">
        <f t="shared" si="67"/>
        <v>370</v>
      </c>
      <c r="E163" s="34">
        <v>1</v>
      </c>
      <c r="F163" s="31">
        <f t="shared" si="68"/>
        <v>19</v>
      </c>
      <c r="G163" s="35">
        <f t="shared" si="65"/>
        <v>18</v>
      </c>
      <c r="H163" s="31">
        <f t="shared" si="57"/>
        <v>-6</v>
      </c>
      <c r="I163" s="32">
        <f t="shared" si="58"/>
        <v>-0.58860000000000001</v>
      </c>
      <c r="J163" s="31">
        <v>347.274</v>
      </c>
      <c r="K163" s="31">
        <f t="shared" si="59"/>
        <v>138.2218992</v>
      </c>
      <c r="L163" s="31">
        <f t="shared" si="66"/>
        <v>2545.2759534255151</v>
      </c>
      <c r="M163" s="31">
        <f t="shared" si="61"/>
        <v>-3540</v>
      </c>
      <c r="N163" s="30">
        <f t="shared" si="62"/>
        <v>-509.22814737448471</v>
      </c>
      <c r="O163" s="30">
        <f t="shared" si="63"/>
        <v>3055.3688842469082</v>
      </c>
      <c r="P163" s="30">
        <v>1204.670084246909</v>
      </c>
      <c r="Q163" s="30">
        <f t="shared" si="53"/>
        <v>62944.631115753094</v>
      </c>
      <c r="R163" s="30">
        <v>51504.376895618894</v>
      </c>
      <c r="S163" s="31">
        <f t="shared" si="54"/>
        <v>3055.3688842469082</v>
      </c>
      <c r="T163" s="31">
        <v>66000</v>
      </c>
    </row>
    <row r="164" spans="2:20" x14ac:dyDescent="0.25">
      <c r="B164" s="30" t="s">
        <v>11</v>
      </c>
      <c r="C164" s="30">
        <v>13</v>
      </c>
      <c r="D164" s="30">
        <f t="shared" si="67"/>
        <v>383</v>
      </c>
      <c r="E164" s="34">
        <v>1</v>
      </c>
      <c r="F164" s="31">
        <f t="shared" si="68"/>
        <v>20</v>
      </c>
      <c r="G164" s="35">
        <f t="shared" si="65"/>
        <v>13</v>
      </c>
      <c r="H164" s="31">
        <f t="shared" si="57"/>
        <v>-5</v>
      </c>
      <c r="I164" s="32">
        <f t="shared" si="58"/>
        <v>-0.49050000000000005</v>
      </c>
      <c r="J164" s="31">
        <v>347.274</v>
      </c>
      <c r="K164" s="31">
        <f t="shared" si="59"/>
        <v>72.097225199999997</v>
      </c>
      <c r="L164" s="31">
        <f t="shared" si="66"/>
        <v>2545.2759534255151</v>
      </c>
      <c r="M164" s="31">
        <f t="shared" si="61"/>
        <v>-2950</v>
      </c>
      <c r="N164" s="30">
        <f t="shared" si="62"/>
        <v>14.647178625515153</v>
      </c>
      <c r="O164" s="30">
        <f t="shared" si="63"/>
        <v>-73.235893127575764</v>
      </c>
      <c r="P164" s="30">
        <v>-1330.4848931275751</v>
      </c>
      <c r="Q164" s="30">
        <f t="shared" si="53"/>
        <v>66073.235893127581</v>
      </c>
      <c r="R164" s="30">
        <v>48187.531872993379</v>
      </c>
      <c r="S164" s="31">
        <f t="shared" si="54"/>
        <v>-73.235893127575764</v>
      </c>
      <c r="T164" s="31">
        <v>66000</v>
      </c>
    </row>
    <row r="165" spans="2:20" x14ac:dyDescent="0.25">
      <c r="B165" s="30" t="s">
        <v>12</v>
      </c>
      <c r="C165" s="30">
        <v>13</v>
      </c>
      <c r="D165" s="30">
        <f t="shared" si="67"/>
        <v>396</v>
      </c>
      <c r="E165" s="34">
        <v>1</v>
      </c>
      <c r="F165" s="31">
        <f t="shared" si="68"/>
        <v>21</v>
      </c>
      <c r="G165" s="35">
        <f t="shared" si="65"/>
        <v>13</v>
      </c>
      <c r="H165" s="31">
        <f t="shared" si="57"/>
        <v>0</v>
      </c>
      <c r="I165" s="32">
        <f t="shared" si="58"/>
        <v>0</v>
      </c>
      <c r="J165" s="31">
        <v>347.274</v>
      </c>
      <c r="K165" s="31">
        <f t="shared" si="59"/>
        <v>72.097225199999997</v>
      </c>
      <c r="L165" s="31">
        <f t="shared" si="66"/>
        <v>2545.2759534255151</v>
      </c>
      <c r="M165" s="31">
        <f t="shared" si="61"/>
        <v>0</v>
      </c>
      <c r="N165" s="30">
        <f t="shared" si="62"/>
        <v>2964.6471786255152</v>
      </c>
      <c r="O165" s="30">
        <f t="shared" si="63"/>
        <v>0</v>
      </c>
      <c r="P165" s="30">
        <v>0</v>
      </c>
      <c r="Q165" s="30">
        <f t="shared" si="53"/>
        <v>66000</v>
      </c>
      <c r="R165" s="30">
        <v>33557.046979865801</v>
      </c>
      <c r="S165" s="31">
        <f t="shared" si="54"/>
        <v>0</v>
      </c>
      <c r="T165" s="31">
        <v>66000</v>
      </c>
    </row>
    <row r="166" spans="2:20" x14ac:dyDescent="0.25">
      <c r="B166" s="30" t="s">
        <v>12</v>
      </c>
      <c r="C166" s="30">
        <v>16</v>
      </c>
      <c r="D166" s="30">
        <f t="shared" si="67"/>
        <v>412</v>
      </c>
      <c r="E166" s="34">
        <v>1</v>
      </c>
      <c r="F166" s="31">
        <f t="shared" si="68"/>
        <v>22</v>
      </c>
      <c r="G166" s="35">
        <f t="shared" si="65"/>
        <v>16</v>
      </c>
      <c r="H166" s="31">
        <f t="shared" si="57"/>
        <v>3</v>
      </c>
      <c r="I166" s="32">
        <f t="shared" si="58"/>
        <v>0.29430000000000001</v>
      </c>
      <c r="J166" s="31">
        <v>347.274</v>
      </c>
      <c r="K166" s="31">
        <f t="shared" si="59"/>
        <v>109.21236479999999</v>
      </c>
      <c r="L166" s="31">
        <f t="shared" si="66"/>
        <v>2545.2759534255151</v>
      </c>
      <c r="M166" s="31">
        <f t="shared" si="61"/>
        <v>1770</v>
      </c>
      <c r="N166" s="30">
        <f t="shared" si="62"/>
        <v>4771.7623182255156</v>
      </c>
      <c r="O166" s="30">
        <f t="shared" si="63"/>
        <v>14315.286954676547</v>
      </c>
      <c r="P166" s="30">
        <v>13701.636354676546</v>
      </c>
      <c r="Q166" s="30">
        <f t="shared" si="53"/>
        <v>51684.713045323457</v>
      </c>
      <c r="R166" s="30">
        <v>24643.410625189255</v>
      </c>
      <c r="S166" s="31">
        <f t="shared" si="54"/>
        <v>14315.286954676547</v>
      </c>
      <c r="T166" s="31">
        <v>66000</v>
      </c>
    </row>
    <row r="167" spans="2:20" x14ac:dyDescent="0.25">
      <c r="B167" s="30" t="s">
        <v>13</v>
      </c>
      <c r="C167" s="30">
        <v>16</v>
      </c>
      <c r="D167" s="30">
        <f t="shared" si="67"/>
        <v>428</v>
      </c>
      <c r="E167" s="34">
        <v>1</v>
      </c>
      <c r="F167" s="31">
        <f t="shared" si="68"/>
        <v>23</v>
      </c>
      <c r="G167" s="35">
        <f t="shared" si="65"/>
        <v>16</v>
      </c>
      <c r="H167" s="31">
        <f t="shared" si="57"/>
        <v>0</v>
      </c>
      <c r="I167" s="32">
        <f t="shared" si="58"/>
        <v>0</v>
      </c>
      <c r="J167" s="31">
        <v>347.274</v>
      </c>
      <c r="K167" s="31">
        <f t="shared" si="59"/>
        <v>109.21236479999999</v>
      </c>
      <c r="L167" s="31">
        <f t="shared" si="66"/>
        <v>2545.2759534255151</v>
      </c>
      <c r="M167" s="31">
        <f t="shared" si="61"/>
        <v>0</v>
      </c>
      <c r="N167" s="30">
        <f t="shared" si="62"/>
        <v>3001.7623182255152</v>
      </c>
      <c r="O167" s="30">
        <f t="shared" si="63"/>
        <v>0</v>
      </c>
      <c r="P167" s="30">
        <v>0</v>
      </c>
      <c r="Q167" s="30">
        <f t="shared" si="53"/>
        <v>66000</v>
      </c>
      <c r="R167" s="30">
        <v>33557.046979865801</v>
      </c>
      <c r="S167" s="31">
        <f t="shared" si="54"/>
        <v>0</v>
      </c>
      <c r="T167" s="31">
        <v>66000</v>
      </c>
    </row>
    <row r="168" spans="2:20" x14ac:dyDescent="0.25">
      <c r="B168" s="30" t="s">
        <v>13</v>
      </c>
      <c r="C168" s="30">
        <v>16</v>
      </c>
      <c r="D168" s="30">
        <f t="shared" si="67"/>
        <v>444</v>
      </c>
      <c r="E168" s="34">
        <v>1</v>
      </c>
      <c r="F168" s="31">
        <f t="shared" si="68"/>
        <v>24</v>
      </c>
      <c r="G168" s="35">
        <f t="shared" si="65"/>
        <v>16</v>
      </c>
      <c r="H168" s="31">
        <f t="shared" si="57"/>
        <v>0</v>
      </c>
      <c r="I168" s="32">
        <f t="shared" si="58"/>
        <v>0</v>
      </c>
      <c r="J168" s="31">
        <v>347.274</v>
      </c>
      <c r="K168" s="31">
        <f t="shared" si="59"/>
        <v>109.21236479999999</v>
      </c>
      <c r="L168" s="31">
        <f t="shared" si="66"/>
        <v>2545.2759534255151</v>
      </c>
      <c r="M168" s="31">
        <f t="shared" si="61"/>
        <v>0</v>
      </c>
      <c r="N168" s="30">
        <f t="shared" si="62"/>
        <v>3001.7623182255152</v>
      </c>
      <c r="O168" s="30">
        <f t="shared" si="63"/>
        <v>0</v>
      </c>
      <c r="P168" s="30">
        <v>0</v>
      </c>
      <c r="Q168" s="30">
        <f t="shared" si="53"/>
        <v>66000</v>
      </c>
      <c r="R168" s="30">
        <v>33557.046979865801</v>
      </c>
      <c r="S168" s="31">
        <f t="shared" si="54"/>
        <v>0</v>
      </c>
      <c r="T168" s="31">
        <v>66000</v>
      </c>
    </row>
    <row r="169" spans="2:20" x14ac:dyDescent="0.25">
      <c r="B169" s="30" t="s">
        <v>14</v>
      </c>
      <c r="C169" s="30">
        <v>17</v>
      </c>
      <c r="D169" s="30">
        <f t="shared" si="67"/>
        <v>461</v>
      </c>
      <c r="E169" s="34">
        <v>1</v>
      </c>
      <c r="F169" s="31">
        <f t="shared" si="68"/>
        <v>25</v>
      </c>
      <c r="G169" s="35">
        <f t="shared" si="65"/>
        <v>17</v>
      </c>
      <c r="H169" s="31">
        <f t="shared" si="57"/>
        <v>1</v>
      </c>
      <c r="I169" s="32">
        <f t="shared" si="58"/>
        <v>9.8100000000000007E-2</v>
      </c>
      <c r="J169" s="31">
        <v>347.274</v>
      </c>
      <c r="K169" s="31">
        <f t="shared" si="59"/>
        <v>123.29052119999999</v>
      </c>
      <c r="L169" s="31">
        <f t="shared" si="66"/>
        <v>2545.2759534255151</v>
      </c>
      <c r="M169" s="31">
        <f t="shared" si="61"/>
        <v>590</v>
      </c>
      <c r="N169" s="30">
        <f t="shared" si="62"/>
        <v>3605.8404746255151</v>
      </c>
      <c r="O169" s="30">
        <f t="shared" si="63"/>
        <v>3605.8404746255151</v>
      </c>
      <c r="P169" s="30">
        <v>3515.2902746255149</v>
      </c>
      <c r="Q169" s="30">
        <f t="shared" si="53"/>
        <v>62394.159525374482</v>
      </c>
      <c r="R169" s="30">
        <v>30573.756705240288</v>
      </c>
      <c r="S169" s="31">
        <f t="shared" si="54"/>
        <v>3605.8404746255151</v>
      </c>
      <c r="T169" s="31">
        <v>66000</v>
      </c>
    </row>
    <row r="170" spans="2:20" x14ac:dyDescent="0.25">
      <c r="B170" s="30" t="s">
        <v>14</v>
      </c>
      <c r="C170" s="30">
        <v>17</v>
      </c>
      <c r="D170" s="30">
        <f t="shared" si="67"/>
        <v>478</v>
      </c>
      <c r="E170" s="34">
        <v>1</v>
      </c>
      <c r="F170" s="31">
        <f t="shared" si="68"/>
        <v>26</v>
      </c>
      <c r="G170" s="35">
        <f t="shared" si="65"/>
        <v>17</v>
      </c>
      <c r="H170" s="31">
        <f t="shared" si="57"/>
        <v>0</v>
      </c>
      <c r="I170" s="32">
        <f t="shared" si="58"/>
        <v>0</v>
      </c>
      <c r="J170" s="31">
        <v>347.274</v>
      </c>
      <c r="K170" s="31">
        <f t="shared" si="59"/>
        <v>123.29052119999999</v>
      </c>
      <c r="L170" s="31">
        <f t="shared" si="66"/>
        <v>2545.2759534255151</v>
      </c>
      <c r="M170" s="31">
        <f t="shared" si="61"/>
        <v>0</v>
      </c>
      <c r="N170" s="30">
        <f t="shared" si="62"/>
        <v>3015.8404746255151</v>
      </c>
      <c r="O170" s="30">
        <f t="shared" si="63"/>
        <v>0</v>
      </c>
      <c r="P170" s="30">
        <v>0</v>
      </c>
      <c r="Q170" s="30">
        <f t="shared" si="53"/>
        <v>66000</v>
      </c>
      <c r="R170" s="30">
        <v>33557.046979865801</v>
      </c>
      <c r="S170" s="31">
        <f t="shared" si="54"/>
        <v>0</v>
      </c>
      <c r="T170" s="31">
        <v>66000</v>
      </c>
    </row>
    <row r="171" spans="2:20" x14ac:dyDescent="0.25">
      <c r="B171" s="30" t="s">
        <v>15</v>
      </c>
      <c r="C171" s="30">
        <v>15</v>
      </c>
      <c r="D171" s="30">
        <f t="shared" si="67"/>
        <v>493</v>
      </c>
      <c r="E171" s="34">
        <v>1</v>
      </c>
      <c r="F171" s="31">
        <f t="shared" si="68"/>
        <v>27</v>
      </c>
      <c r="G171" s="35">
        <f t="shared" si="65"/>
        <v>15</v>
      </c>
      <c r="H171" s="31">
        <f t="shared" si="57"/>
        <v>-2</v>
      </c>
      <c r="I171" s="32">
        <f t="shared" si="58"/>
        <v>-0.19620000000000001</v>
      </c>
      <c r="J171" s="31">
        <v>347.274</v>
      </c>
      <c r="K171" s="31">
        <f t="shared" si="59"/>
        <v>95.987429999999989</v>
      </c>
      <c r="L171" s="31">
        <f t="shared" si="66"/>
        <v>2545.2759534255151</v>
      </c>
      <c r="M171" s="31">
        <f t="shared" si="61"/>
        <v>-1180</v>
      </c>
      <c r="N171" s="30">
        <f t="shared" si="62"/>
        <v>1808.5373834255151</v>
      </c>
      <c r="O171" s="30">
        <f t="shared" si="63"/>
        <v>-3617.0747668510303</v>
      </c>
      <c r="P171" s="30">
        <v>-3777.97436685103</v>
      </c>
      <c r="Q171" s="30">
        <f t="shared" si="53"/>
        <v>69617.07476685103</v>
      </c>
      <c r="R171" s="30">
        <v>39463.021346716829</v>
      </c>
      <c r="S171" s="31">
        <f t="shared" si="54"/>
        <v>-3617.0747668510303</v>
      </c>
      <c r="T171" s="31">
        <v>66000</v>
      </c>
    </row>
    <row r="172" spans="2:20" x14ac:dyDescent="0.25">
      <c r="B172" s="30" t="s">
        <v>15</v>
      </c>
      <c r="C172" s="30">
        <v>14</v>
      </c>
      <c r="D172" s="30">
        <f t="shared" si="67"/>
        <v>507</v>
      </c>
      <c r="E172" s="34">
        <v>1</v>
      </c>
      <c r="F172" s="31">
        <f t="shared" si="68"/>
        <v>28</v>
      </c>
      <c r="G172" s="35">
        <f t="shared" si="65"/>
        <v>14</v>
      </c>
      <c r="H172" s="31">
        <f t="shared" si="57"/>
        <v>-1</v>
      </c>
      <c r="I172" s="32">
        <f t="shared" si="58"/>
        <v>-9.8100000000000007E-2</v>
      </c>
      <c r="J172" s="31">
        <v>347.274</v>
      </c>
      <c r="K172" s="31">
        <f t="shared" si="59"/>
        <v>83.615716799999987</v>
      </c>
      <c r="L172" s="31">
        <f t="shared" si="66"/>
        <v>2545.2759534255151</v>
      </c>
      <c r="M172" s="31">
        <f t="shared" si="61"/>
        <v>-590</v>
      </c>
      <c r="N172" s="30">
        <f t="shared" si="62"/>
        <v>2386.165670225515</v>
      </c>
      <c r="O172" s="30">
        <f t="shared" si="63"/>
        <v>-2386.165670225515</v>
      </c>
      <c r="P172" s="30">
        <v>-2409.6154702255153</v>
      </c>
      <c r="Q172" s="30">
        <f t="shared" si="53"/>
        <v>68386.165670225513</v>
      </c>
      <c r="R172" s="30">
        <v>36498.662450091317</v>
      </c>
      <c r="S172" s="31">
        <f t="shared" si="54"/>
        <v>-2386.165670225515</v>
      </c>
      <c r="T172" s="31">
        <v>66000</v>
      </c>
    </row>
    <row r="173" spans="2:20" x14ac:dyDescent="0.25">
      <c r="B173" s="30" t="s">
        <v>15</v>
      </c>
      <c r="C173" s="30">
        <v>16</v>
      </c>
      <c r="D173" s="30">
        <f t="shared" si="67"/>
        <v>523</v>
      </c>
      <c r="E173" s="34">
        <v>1</v>
      </c>
      <c r="F173" s="31">
        <f t="shared" si="68"/>
        <v>29</v>
      </c>
      <c r="G173" s="35">
        <f t="shared" si="65"/>
        <v>16</v>
      </c>
      <c r="H173" s="31">
        <f t="shared" si="57"/>
        <v>2</v>
      </c>
      <c r="I173" s="32">
        <f t="shared" si="58"/>
        <v>0.19620000000000001</v>
      </c>
      <c r="J173" s="31">
        <v>347.274</v>
      </c>
      <c r="K173" s="31">
        <f t="shared" si="59"/>
        <v>109.21236479999999</v>
      </c>
      <c r="L173" s="31">
        <f t="shared" si="66"/>
        <v>2545.2759534255151</v>
      </c>
      <c r="M173" s="31">
        <f t="shared" si="61"/>
        <v>1180</v>
      </c>
      <c r="N173" s="30">
        <f t="shared" si="62"/>
        <v>4181.7623182255156</v>
      </c>
      <c r="O173" s="30">
        <f t="shared" si="63"/>
        <v>8363.5246364510313</v>
      </c>
      <c r="P173" s="30">
        <v>8068.4242364510301</v>
      </c>
      <c r="Q173" s="30">
        <f t="shared" si="53"/>
        <v>57636.475363548969</v>
      </c>
      <c r="R173" s="30">
        <v>27616.622743414773</v>
      </c>
      <c r="S173" s="31">
        <f t="shared" si="54"/>
        <v>8363.5246364510313</v>
      </c>
      <c r="T173" s="31">
        <v>66000</v>
      </c>
    </row>
    <row r="174" spans="2:20" x14ac:dyDescent="0.25">
      <c r="B174" s="30" t="s">
        <v>16</v>
      </c>
      <c r="C174" s="33">
        <v>13</v>
      </c>
      <c r="D174" s="30">
        <f t="shared" si="67"/>
        <v>536</v>
      </c>
      <c r="E174" s="34">
        <v>1</v>
      </c>
      <c r="F174" s="31">
        <f t="shared" si="68"/>
        <v>30</v>
      </c>
      <c r="G174" s="30">
        <f t="shared" si="65"/>
        <v>13</v>
      </c>
      <c r="H174" s="31">
        <f t="shared" si="57"/>
        <v>-3</v>
      </c>
      <c r="I174" s="32">
        <f t="shared" si="58"/>
        <v>-0.29430000000000001</v>
      </c>
      <c r="J174" s="31">
        <v>347.274</v>
      </c>
      <c r="K174" s="31">
        <f t="shared" si="59"/>
        <v>72.097225199999997</v>
      </c>
      <c r="L174" s="31">
        <f t="shared" si="66"/>
        <v>2545.2759534255151</v>
      </c>
      <c r="M174" s="31">
        <f t="shared" si="61"/>
        <v>-1770</v>
      </c>
      <c r="N174" s="30">
        <f t="shared" si="62"/>
        <v>1194.6471786255152</v>
      </c>
      <c r="O174" s="30">
        <f t="shared" si="63"/>
        <v>-3583.9415358765455</v>
      </c>
      <c r="P174" s="30">
        <v>-3996.2909358765451</v>
      </c>
      <c r="Q174" s="30">
        <f t="shared" si="53"/>
        <v>69583.94153587654</v>
      </c>
      <c r="R174" s="30">
        <v>42341.337915742348</v>
      </c>
      <c r="S174" s="31">
        <f t="shared" si="54"/>
        <v>-3583.9415358765455</v>
      </c>
      <c r="T174" s="31">
        <v>66000</v>
      </c>
    </row>
    <row r="175" spans="2:20" x14ac:dyDescent="0.25">
      <c r="B175" s="30" t="s">
        <v>16</v>
      </c>
      <c r="C175" s="33">
        <v>11</v>
      </c>
      <c r="D175" s="30">
        <f t="shared" si="67"/>
        <v>547</v>
      </c>
      <c r="E175" s="34">
        <v>1</v>
      </c>
      <c r="F175" s="31">
        <f t="shared" si="68"/>
        <v>31</v>
      </c>
      <c r="G175" s="30">
        <f t="shared" si="65"/>
        <v>11</v>
      </c>
      <c r="H175" s="31">
        <f t="shared" si="57"/>
        <v>-2</v>
      </c>
      <c r="I175" s="32">
        <f t="shared" si="58"/>
        <v>-0.19620000000000001</v>
      </c>
      <c r="J175" s="31">
        <v>347.274</v>
      </c>
      <c r="K175" s="31">
        <f t="shared" si="59"/>
        <v>51.619906799999995</v>
      </c>
      <c r="L175" s="31">
        <f t="shared" si="66"/>
        <v>2545.2759534255151</v>
      </c>
      <c r="M175" s="31">
        <f t="shared" si="61"/>
        <v>-1180</v>
      </c>
      <c r="N175" s="30">
        <f t="shared" si="62"/>
        <v>1764.1698602255151</v>
      </c>
      <c r="O175" s="30">
        <f t="shared" si="63"/>
        <v>-3528.3397204510302</v>
      </c>
      <c r="P175" s="30">
        <v>-3689.2393204510299</v>
      </c>
      <c r="Q175" s="30">
        <f t="shared" si="53"/>
        <v>69528.339720451026</v>
      </c>
      <c r="R175" s="30">
        <v>39374.286300316831</v>
      </c>
      <c r="S175" s="31">
        <f t="shared" si="54"/>
        <v>-3528.3397204510302</v>
      </c>
      <c r="T175" s="31">
        <v>66000</v>
      </c>
    </row>
    <row r="176" spans="2:20" x14ac:dyDescent="0.25">
      <c r="B176" s="30" t="s">
        <v>16</v>
      </c>
      <c r="C176" s="33">
        <v>9</v>
      </c>
      <c r="D176" s="30">
        <f t="shared" si="67"/>
        <v>556</v>
      </c>
      <c r="E176" s="34">
        <v>1</v>
      </c>
      <c r="F176" s="31">
        <f t="shared" si="68"/>
        <v>32</v>
      </c>
      <c r="G176" s="30">
        <f t="shared" si="65"/>
        <v>9</v>
      </c>
      <c r="H176" s="31">
        <f t="shared" si="57"/>
        <v>-2</v>
      </c>
      <c r="I176" s="32">
        <f t="shared" si="58"/>
        <v>-0.19620000000000001</v>
      </c>
      <c r="J176" s="31">
        <v>347.274</v>
      </c>
      <c r="K176" s="31">
        <f t="shared" si="59"/>
        <v>34.555474799999999</v>
      </c>
      <c r="L176" s="31">
        <f t="shared" si="66"/>
        <v>2545.2759534255151</v>
      </c>
      <c r="M176" s="31">
        <f t="shared" si="61"/>
        <v>-1180</v>
      </c>
      <c r="N176" s="30">
        <f t="shared" si="62"/>
        <v>1747.105428225515</v>
      </c>
      <c r="O176" s="30">
        <f t="shared" si="63"/>
        <v>-3494.2108564510299</v>
      </c>
      <c r="P176" s="30">
        <v>-3655.1104564510306</v>
      </c>
      <c r="Q176" s="30">
        <f t="shared" si="53"/>
        <v>69494.210856451027</v>
      </c>
      <c r="R176" s="30">
        <v>39340.157436316833</v>
      </c>
      <c r="S176" s="31">
        <f t="shared" si="54"/>
        <v>-3494.2108564510299</v>
      </c>
      <c r="T176" s="31">
        <v>66000</v>
      </c>
    </row>
    <row r="177" spans="2:20" x14ac:dyDescent="0.25">
      <c r="B177" s="30" t="s">
        <v>16</v>
      </c>
      <c r="C177" s="33">
        <v>13</v>
      </c>
      <c r="D177" s="30">
        <f t="shared" si="67"/>
        <v>569</v>
      </c>
      <c r="E177" s="34">
        <v>1</v>
      </c>
      <c r="F177" s="31">
        <f t="shared" si="68"/>
        <v>33</v>
      </c>
      <c r="G177" s="30">
        <f t="shared" si="65"/>
        <v>13</v>
      </c>
      <c r="H177" s="31">
        <f t="shared" si="57"/>
        <v>4</v>
      </c>
      <c r="I177" s="32">
        <f t="shared" si="58"/>
        <v>0.39240000000000003</v>
      </c>
      <c r="J177" s="31">
        <v>347.274</v>
      </c>
      <c r="K177" s="31">
        <f t="shared" si="59"/>
        <v>72.097225199999997</v>
      </c>
      <c r="L177" s="31">
        <f t="shared" si="66"/>
        <v>2545.2759534255151</v>
      </c>
      <c r="M177" s="31">
        <f t="shared" si="61"/>
        <v>2360</v>
      </c>
      <c r="N177" s="30">
        <f t="shared" si="62"/>
        <v>5324.6471786255152</v>
      </c>
      <c r="O177" s="30">
        <f t="shared" si="63"/>
        <v>21298.588714502061</v>
      </c>
      <c r="P177" s="30">
        <v>20252.387914502062</v>
      </c>
      <c r="Q177" s="30">
        <f t="shared" si="53"/>
        <v>44701.411285497939</v>
      </c>
      <c r="R177" s="30">
        <v>21816.65906536374</v>
      </c>
      <c r="S177" s="31">
        <f t="shared" si="54"/>
        <v>21298.588714502061</v>
      </c>
      <c r="T177" s="31">
        <v>66000</v>
      </c>
    </row>
    <row r="178" spans="2:20" x14ac:dyDescent="0.25">
      <c r="B178" s="30" t="s">
        <v>17</v>
      </c>
      <c r="C178" s="33">
        <v>11</v>
      </c>
      <c r="D178" s="30">
        <f t="shared" si="67"/>
        <v>580</v>
      </c>
      <c r="E178" s="34">
        <v>1</v>
      </c>
      <c r="F178" s="31">
        <f t="shared" si="68"/>
        <v>34</v>
      </c>
      <c r="G178" s="30">
        <f t="shared" si="65"/>
        <v>11</v>
      </c>
      <c r="H178" s="31">
        <f t="shared" si="57"/>
        <v>-2</v>
      </c>
      <c r="I178" s="32">
        <f t="shared" si="58"/>
        <v>-0.19620000000000001</v>
      </c>
      <c r="J178" s="31">
        <v>347.274</v>
      </c>
      <c r="K178" s="31">
        <f t="shared" si="59"/>
        <v>51.619906799999995</v>
      </c>
      <c r="L178" s="31">
        <f t="shared" si="66"/>
        <v>2545.2759534255151</v>
      </c>
      <c r="M178" s="31">
        <f t="shared" si="61"/>
        <v>-1180</v>
      </c>
      <c r="N178" s="30">
        <f t="shared" si="62"/>
        <v>1764.1698602255151</v>
      </c>
      <c r="O178" s="30">
        <f t="shared" si="63"/>
        <v>-3528.3397204510302</v>
      </c>
      <c r="P178" s="30">
        <v>-3689.2393204510299</v>
      </c>
      <c r="Q178" s="30">
        <f t="shared" si="53"/>
        <v>69528.339720451026</v>
      </c>
      <c r="R178" s="30">
        <v>39374.286300316831</v>
      </c>
      <c r="S178" s="31">
        <f t="shared" si="54"/>
        <v>-3528.3397204510302</v>
      </c>
      <c r="T178" s="31">
        <v>66000</v>
      </c>
    </row>
    <row r="179" spans="2:20" x14ac:dyDescent="0.25">
      <c r="B179" s="30" t="s">
        <v>17</v>
      </c>
      <c r="C179" s="33">
        <v>13</v>
      </c>
      <c r="D179" s="30">
        <f t="shared" si="67"/>
        <v>593</v>
      </c>
      <c r="E179" s="34">
        <v>1</v>
      </c>
      <c r="F179" s="31">
        <f t="shared" si="68"/>
        <v>35</v>
      </c>
      <c r="G179" s="30">
        <f t="shared" si="65"/>
        <v>13</v>
      </c>
      <c r="H179" s="31">
        <f t="shared" si="57"/>
        <v>2</v>
      </c>
      <c r="I179" s="32">
        <f t="shared" si="58"/>
        <v>0.19620000000000001</v>
      </c>
      <c r="J179" s="31">
        <v>347.274</v>
      </c>
      <c r="K179" s="31">
        <f t="shared" si="59"/>
        <v>72.097225199999997</v>
      </c>
      <c r="L179" s="31">
        <f t="shared" si="66"/>
        <v>2545.2759534255151</v>
      </c>
      <c r="M179" s="31">
        <f t="shared" si="61"/>
        <v>1180</v>
      </c>
      <c r="N179" s="30">
        <f t="shared" si="62"/>
        <v>4144.6471786255152</v>
      </c>
      <c r="O179" s="30">
        <f t="shared" si="63"/>
        <v>8289.2943572510303</v>
      </c>
      <c r="P179" s="30">
        <v>7994.19395725103</v>
      </c>
      <c r="Q179" s="30">
        <f t="shared" si="53"/>
        <v>57710.705642748973</v>
      </c>
      <c r="R179" s="30">
        <v>27690.85302261477</v>
      </c>
      <c r="S179" s="31">
        <f t="shared" si="54"/>
        <v>8289.2943572510303</v>
      </c>
      <c r="T179" s="31">
        <v>66000</v>
      </c>
    </row>
    <row r="180" spans="2:20" x14ac:dyDescent="0.25">
      <c r="B180" s="30" t="s">
        <v>17</v>
      </c>
      <c r="C180" s="33">
        <v>16</v>
      </c>
      <c r="D180" s="30">
        <f t="shared" si="67"/>
        <v>609</v>
      </c>
      <c r="E180" s="34">
        <v>1</v>
      </c>
      <c r="F180" s="31">
        <f t="shared" si="68"/>
        <v>36</v>
      </c>
      <c r="G180" s="30">
        <f t="shared" si="65"/>
        <v>16</v>
      </c>
      <c r="H180" s="31">
        <f t="shared" si="57"/>
        <v>3</v>
      </c>
      <c r="I180" s="32">
        <f t="shared" si="58"/>
        <v>0.29430000000000001</v>
      </c>
      <c r="J180" s="31">
        <v>347.274</v>
      </c>
      <c r="K180" s="31">
        <f t="shared" si="59"/>
        <v>109.21236479999999</v>
      </c>
      <c r="L180" s="31">
        <f t="shared" si="66"/>
        <v>2545.2759534255151</v>
      </c>
      <c r="M180" s="31">
        <f t="shared" si="61"/>
        <v>1770</v>
      </c>
      <c r="N180" s="30">
        <f t="shared" si="62"/>
        <v>4771.7623182255156</v>
      </c>
      <c r="O180" s="30">
        <f t="shared" si="63"/>
        <v>14315.286954676547</v>
      </c>
      <c r="P180" s="30">
        <v>13701.636354676546</v>
      </c>
      <c r="Q180" s="30">
        <f t="shared" si="53"/>
        <v>51684.713045323457</v>
      </c>
      <c r="R180" s="30">
        <v>24643.410625189255</v>
      </c>
      <c r="S180" s="31">
        <f t="shared" si="54"/>
        <v>14315.286954676547</v>
      </c>
      <c r="T180" s="31">
        <v>66000</v>
      </c>
    </row>
    <row r="181" spans="2:20" x14ac:dyDescent="0.25">
      <c r="B181" s="30" t="s">
        <v>18</v>
      </c>
      <c r="C181" s="33">
        <v>16</v>
      </c>
      <c r="D181" s="30">
        <f t="shared" si="67"/>
        <v>625</v>
      </c>
      <c r="E181" s="34">
        <v>1</v>
      </c>
      <c r="F181" s="31">
        <f t="shared" si="68"/>
        <v>37</v>
      </c>
      <c r="G181" s="30">
        <f t="shared" si="65"/>
        <v>16</v>
      </c>
      <c r="H181" s="31">
        <f t="shared" si="57"/>
        <v>0</v>
      </c>
      <c r="I181" s="32">
        <f t="shared" si="58"/>
        <v>0</v>
      </c>
      <c r="J181" s="31">
        <v>347.274</v>
      </c>
      <c r="K181" s="31">
        <f t="shared" si="59"/>
        <v>109.21236479999999</v>
      </c>
      <c r="L181" s="31">
        <f t="shared" si="66"/>
        <v>2545.2759534255151</v>
      </c>
      <c r="M181" s="31">
        <f t="shared" si="61"/>
        <v>0</v>
      </c>
      <c r="N181" s="30">
        <f t="shared" si="62"/>
        <v>3001.7623182255152</v>
      </c>
      <c r="O181" s="30">
        <f t="shared" si="63"/>
        <v>0</v>
      </c>
      <c r="P181" s="30">
        <v>0</v>
      </c>
      <c r="Q181" s="30">
        <f t="shared" si="53"/>
        <v>66000</v>
      </c>
      <c r="R181" s="30">
        <v>33557.046979865801</v>
      </c>
      <c r="S181" s="31">
        <f t="shared" si="54"/>
        <v>0</v>
      </c>
      <c r="T181" s="31">
        <v>66000</v>
      </c>
    </row>
    <row r="182" spans="2:20" x14ac:dyDescent="0.25">
      <c r="B182" s="30" t="s">
        <v>18</v>
      </c>
      <c r="C182" s="38">
        <v>18</v>
      </c>
      <c r="D182" s="30">
        <f t="shared" si="67"/>
        <v>643</v>
      </c>
      <c r="E182" s="34">
        <v>1</v>
      </c>
      <c r="F182" s="31">
        <f t="shared" si="68"/>
        <v>38</v>
      </c>
      <c r="G182" s="30">
        <f t="shared" si="65"/>
        <v>18</v>
      </c>
      <c r="H182" s="31">
        <f t="shared" si="57"/>
        <v>2</v>
      </c>
      <c r="I182" s="32">
        <f t="shared" si="58"/>
        <v>0.19620000000000001</v>
      </c>
      <c r="J182" s="31">
        <v>347.274</v>
      </c>
      <c r="K182" s="31">
        <f t="shared" si="59"/>
        <v>138.2218992</v>
      </c>
      <c r="L182" s="31">
        <f t="shared" si="66"/>
        <v>2545.2759534255151</v>
      </c>
      <c r="M182" s="31">
        <f t="shared" si="61"/>
        <v>1180</v>
      </c>
      <c r="N182" s="30">
        <f t="shared" si="62"/>
        <v>4210.7718526255157</v>
      </c>
      <c r="O182" s="30">
        <f t="shared" si="63"/>
        <v>8421.5437052510315</v>
      </c>
      <c r="P182" s="30">
        <v>8126.4433052510303</v>
      </c>
      <c r="Q182" s="30">
        <f t="shared" si="53"/>
        <v>57578.456294748969</v>
      </c>
      <c r="R182" s="30">
        <v>27558.603674614773</v>
      </c>
      <c r="S182" s="31">
        <f t="shared" si="54"/>
        <v>8421.5437052510315</v>
      </c>
      <c r="T182" s="31">
        <v>66000</v>
      </c>
    </row>
    <row r="183" spans="2:20" x14ac:dyDescent="0.25">
      <c r="B183" s="30" t="s">
        <v>18</v>
      </c>
      <c r="C183" s="33">
        <v>22</v>
      </c>
      <c r="D183" s="30">
        <f t="shared" si="67"/>
        <v>665</v>
      </c>
      <c r="E183" s="34">
        <v>1</v>
      </c>
      <c r="F183" s="31">
        <f t="shared" si="68"/>
        <v>39</v>
      </c>
      <c r="G183" s="30">
        <f t="shared" si="65"/>
        <v>22</v>
      </c>
      <c r="H183" s="31">
        <f t="shared" si="57"/>
        <v>4</v>
      </c>
      <c r="I183" s="32">
        <f t="shared" si="58"/>
        <v>0.39240000000000003</v>
      </c>
      <c r="J183" s="31">
        <v>347.274</v>
      </c>
      <c r="K183" s="31">
        <f t="shared" si="59"/>
        <v>206.47962719999998</v>
      </c>
      <c r="L183" s="31">
        <f t="shared" si="66"/>
        <v>2545.2759534255151</v>
      </c>
      <c r="M183" s="31">
        <f t="shared" si="61"/>
        <v>2360</v>
      </c>
      <c r="N183" s="30">
        <f t="shared" si="62"/>
        <v>5459.0295806255153</v>
      </c>
      <c r="O183" s="30">
        <f t="shared" si="63"/>
        <v>21836.118322502061</v>
      </c>
      <c r="P183" s="30">
        <v>20789.917522502059</v>
      </c>
      <c r="Q183" s="30">
        <f t="shared" si="53"/>
        <v>44163.881677497935</v>
      </c>
      <c r="R183" s="30">
        <v>21279.129457363742</v>
      </c>
      <c r="S183" s="31">
        <f t="shared" si="54"/>
        <v>21836.118322502061</v>
      </c>
      <c r="T183" s="31">
        <v>66000</v>
      </c>
    </row>
    <row r="184" spans="2:20" x14ac:dyDescent="0.25">
      <c r="B184" s="30" t="s">
        <v>18</v>
      </c>
      <c r="C184" s="30">
        <v>24</v>
      </c>
      <c r="D184" s="30">
        <f t="shared" si="67"/>
        <v>689</v>
      </c>
      <c r="E184" s="34">
        <v>1</v>
      </c>
      <c r="F184" s="31">
        <f t="shared" si="68"/>
        <v>40</v>
      </c>
      <c r="G184" s="30">
        <f t="shared" si="65"/>
        <v>24</v>
      </c>
      <c r="H184" s="31">
        <f t="shared" si="57"/>
        <v>2</v>
      </c>
      <c r="I184" s="32">
        <f t="shared" si="58"/>
        <v>0.19620000000000001</v>
      </c>
      <c r="J184" s="31">
        <v>347.274</v>
      </c>
      <c r="K184" s="31">
        <f t="shared" si="59"/>
        <v>245.72782079999996</v>
      </c>
      <c r="L184" s="31">
        <f t="shared" si="66"/>
        <v>2545.2759534255151</v>
      </c>
      <c r="M184" s="31">
        <f t="shared" si="61"/>
        <v>1180</v>
      </c>
      <c r="N184" s="30">
        <f t="shared" si="62"/>
        <v>4318.2777742255148</v>
      </c>
      <c r="O184" s="30">
        <f t="shared" si="63"/>
        <v>8636.5555484510296</v>
      </c>
      <c r="P184" s="30">
        <v>8341.4551484510303</v>
      </c>
      <c r="Q184" s="30">
        <f t="shared" si="53"/>
        <v>57363.444451548974</v>
      </c>
      <c r="R184" s="30">
        <v>27343.591831414771</v>
      </c>
      <c r="S184" s="31">
        <f t="shared" si="54"/>
        <v>8636.5555484510296</v>
      </c>
      <c r="T184" s="31">
        <v>66000</v>
      </c>
    </row>
    <row r="185" spans="2:20" x14ac:dyDescent="0.25">
      <c r="B185" s="30" t="s">
        <v>19</v>
      </c>
      <c r="C185" s="30">
        <v>26</v>
      </c>
      <c r="D185" s="30">
        <f t="shared" si="67"/>
        <v>715</v>
      </c>
      <c r="E185" s="34">
        <v>1</v>
      </c>
      <c r="F185" s="31">
        <f t="shared" si="68"/>
        <v>41</v>
      </c>
      <c r="G185" s="30">
        <f t="shared" si="65"/>
        <v>26</v>
      </c>
      <c r="H185" s="31">
        <f t="shared" si="57"/>
        <v>2</v>
      </c>
      <c r="I185" s="32">
        <f>(9.81/100)*H185</f>
        <v>0.19620000000000001</v>
      </c>
      <c r="J185" s="31">
        <v>347.274</v>
      </c>
      <c r="K185" s="31">
        <f t="shared" si="59"/>
        <v>288.38890079999999</v>
      </c>
      <c r="L185" s="31">
        <f t="shared" si="66"/>
        <v>2545.2759534255151</v>
      </c>
      <c r="M185" s="31">
        <f t="shared" si="61"/>
        <v>1180</v>
      </c>
      <c r="N185" s="30">
        <f t="shared" si="62"/>
        <v>4360.9388542255147</v>
      </c>
      <c r="O185" s="30">
        <f t="shared" si="63"/>
        <v>8721.8777084510293</v>
      </c>
      <c r="P185" s="30">
        <v>8426.77730845103</v>
      </c>
      <c r="Q185" s="30">
        <f t="shared" si="53"/>
        <v>57278.122291548971</v>
      </c>
      <c r="R185" s="30">
        <v>10625.237854287196</v>
      </c>
      <c r="S185" s="31">
        <f t="shared" si="54"/>
        <v>8721.8777084510293</v>
      </c>
      <c r="T185" s="31">
        <v>66000</v>
      </c>
    </row>
    <row r="186" spans="2:20" x14ac:dyDescent="0.25">
      <c r="B186" s="30" t="s">
        <v>20</v>
      </c>
      <c r="C186" s="30">
        <v>25</v>
      </c>
      <c r="D186" s="30">
        <f t="shared" si="67"/>
        <v>740</v>
      </c>
      <c r="E186" s="34">
        <v>1</v>
      </c>
      <c r="F186" s="31">
        <f t="shared" si="68"/>
        <v>42</v>
      </c>
      <c r="G186" s="30">
        <f t="shared" si="65"/>
        <v>25</v>
      </c>
      <c r="H186" s="31">
        <f t="shared" si="57"/>
        <v>-1</v>
      </c>
      <c r="I186" s="32">
        <f t="shared" ref="I186:I195" si="69">(9.81/100)*H186</f>
        <v>-9.8100000000000007E-2</v>
      </c>
      <c r="J186" s="31">
        <v>347.274</v>
      </c>
      <c r="K186" s="31">
        <f t="shared" si="59"/>
        <v>266.63174999999995</v>
      </c>
      <c r="L186" s="31">
        <f t="shared" si="66"/>
        <v>2545.2759534255151</v>
      </c>
      <c r="M186" s="31">
        <f t="shared" si="61"/>
        <v>-590</v>
      </c>
      <c r="N186" s="30">
        <f t="shared" si="62"/>
        <v>2569.181703425515</v>
      </c>
      <c r="O186" s="30">
        <f t="shared" si="63"/>
        <v>-2569.181703425515</v>
      </c>
      <c r="P186" s="30">
        <v>-2592.6315034255149</v>
      </c>
      <c r="Q186" s="30">
        <f t="shared" si="53"/>
        <v>68569.181703425522</v>
      </c>
      <c r="R186" s="30">
        <v>66762.131787546474</v>
      </c>
      <c r="S186" s="31">
        <f t="shared" si="54"/>
        <v>-2569.181703425515</v>
      </c>
      <c r="T186" s="31">
        <v>66000</v>
      </c>
    </row>
    <row r="187" spans="2:20" x14ac:dyDescent="0.25">
      <c r="B187" s="30" t="s">
        <v>21</v>
      </c>
      <c r="C187" s="30">
        <v>24</v>
      </c>
      <c r="D187" s="30">
        <f t="shared" si="67"/>
        <v>764</v>
      </c>
      <c r="E187" s="34">
        <v>1</v>
      </c>
      <c r="F187" s="31">
        <f t="shared" si="68"/>
        <v>43</v>
      </c>
      <c r="G187" s="30">
        <f t="shared" si="65"/>
        <v>24</v>
      </c>
      <c r="H187" s="31">
        <f t="shared" si="57"/>
        <v>-1</v>
      </c>
      <c r="I187" s="32">
        <f t="shared" si="69"/>
        <v>-9.8100000000000007E-2</v>
      </c>
      <c r="J187" s="31">
        <v>347.274</v>
      </c>
      <c r="K187" s="31">
        <f t="shared" si="59"/>
        <v>245.72782079999996</v>
      </c>
      <c r="L187" s="36">
        <f>$C$26*9.81*+SIN($I$27)</f>
        <v>2545.2759534255151</v>
      </c>
      <c r="M187" s="31">
        <f t="shared" si="61"/>
        <v>-590</v>
      </c>
      <c r="N187" s="36">
        <f t="shared" si="62"/>
        <v>2548.2777742255148</v>
      </c>
      <c r="O187" s="36">
        <f t="shared" si="63"/>
        <v>-2548.2777742255148</v>
      </c>
      <c r="P187" s="36">
        <v>-2571.7275742255151</v>
      </c>
      <c r="Q187" s="36">
        <f t="shared" si="53"/>
        <v>68548.277774225513</v>
      </c>
      <c r="R187" s="36">
        <v>21122.136682963741</v>
      </c>
      <c r="S187" s="36">
        <f t="shared" si="54"/>
        <v>-2548.2777742255148</v>
      </c>
      <c r="T187" s="31">
        <v>66000</v>
      </c>
    </row>
    <row r="188" spans="2:20" x14ac:dyDescent="0.25">
      <c r="B188" s="30" t="s">
        <v>21</v>
      </c>
      <c r="C188" s="30">
        <v>28</v>
      </c>
      <c r="D188" s="30">
        <f t="shared" si="67"/>
        <v>792</v>
      </c>
      <c r="E188" s="34">
        <v>1</v>
      </c>
      <c r="F188" s="31">
        <f t="shared" si="68"/>
        <v>44</v>
      </c>
      <c r="G188" s="30">
        <f t="shared" si="65"/>
        <v>28</v>
      </c>
      <c r="H188" s="31">
        <f t="shared" si="57"/>
        <v>4</v>
      </c>
      <c r="I188" s="32">
        <f t="shared" si="69"/>
        <v>0.39240000000000003</v>
      </c>
      <c r="J188" s="31">
        <v>347.274</v>
      </c>
      <c r="K188" s="31">
        <f t="shared" si="59"/>
        <v>334.46286719999995</v>
      </c>
      <c r="L188" s="36">
        <f t="shared" ref="L188:L195" si="70">$C$26*9.81*+SIN($I$27)</f>
        <v>2545.2759534255151</v>
      </c>
      <c r="M188" s="31">
        <f t="shared" si="61"/>
        <v>2360</v>
      </c>
      <c r="N188" s="36">
        <f t="shared" si="62"/>
        <v>5587.0128206255149</v>
      </c>
      <c r="O188" s="36">
        <f t="shared" si="63"/>
        <v>22348.05128250206</v>
      </c>
      <c r="P188" s="36">
        <v>21301.850482502061</v>
      </c>
      <c r="Q188" s="36">
        <f t="shared" si="53"/>
        <v>43651.948717497944</v>
      </c>
      <c r="R188" s="36">
        <v>20767.19649736374</v>
      </c>
      <c r="S188" s="36">
        <f t="shared" si="54"/>
        <v>22348.05128250206</v>
      </c>
      <c r="T188" s="31">
        <v>66000</v>
      </c>
    </row>
    <row r="189" spans="2:20" x14ac:dyDescent="0.25">
      <c r="B189" s="30" t="s">
        <v>21</v>
      </c>
      <c r="C189" s="30">
        <v>28</v>
      </c>
      <c r="D189" s="30">
        <f t="shared" si="67"/>
        <v>820</v>
      </c>
      <c r="E189" s="34">
        <v>1</v>
      </c>
      <c r="F189" s="31">
        <f t="shared" si="68"/>
        <v>45</v>
      </c>
      <c r="G189" s="30">
        <f t="shared" si="65"/>
        <v>28</v>
      </c>
      <c r="H189" s="31">
        <f t="shared" si="57"/>
        <v>0</v>
      </c>
      <c r="I189" s="32">
        <f t="shared" si="69"/>
        <v>0</v>
      </c>
      <c r="J189" s="31">
        <v>347.274</v>
      </c>
      <c r="K189" s="31">
        <f t="shared" si="59"/>
        <v>334.46286719999995</v>
      </c>
      <c r="L189" s="36">
        <f t="shared" si="70"/>
        <v>2545.2759534255151</v>
      </c>
      <c r="M189" s="31">
        <f t="shared" si="61"/>
        <v>0</v>
      </c>
      <c r="N189" s="36">
        <f t="shared" si="62"/>
        <v>3227.0128206255149</v>
      </c>
      <c r="O189" s="36">
        <f t="shared" si="63"/>
        <v>0</v>
      </c>
      <c r="P189" s="36">
        <v>0</v>
      </c>
      <c r="Q189" s="36">
        <f t="shared" si="53"/>
        <v>66000</v>
      </c>
      <c r="R189" s="36">
        <v>33557.046979865801</v>
      </c>
      <c r="S189" s="36">
        <f t="shared" si="54"/>
        <v>0</v>
      </c>
      <c r="T189" s="31">
        <v>66000</v>
      </c>
    </row>
    <row r="190" spans="2:20" x14ac:dyDescent="0.25">
      <c r="B190" s="30" t="s">
        <v>22</v>
      </c>
      <c r="C190" s="30">
        <v>30</v>
      </c>
      <c r="D190" s="30">
        <f t="shared" si="67"/>
        <v>850</v>
      </c>
      <c r="E190" s="34">
        <v>1</v>
      </c>
      <c r="F190" s="31">
        <f t="shared" si="68"/>
        <v>46</v>
      </c>
      <c r="G190" s="30">
        <f t="shared" si="65"/>
        <v>30</v>
      </c>
      <c r="H190" s="31">
        <f t="shared" si="57"/>
        <v>2</v>
      </c>
      <c r="I190" s="32">
        <f t="shared" si="69"/>
        <v>0.19620000000000001</v>
      </c>
      <c r="J190" s="31">
        <v>347.274</v>
      </c>
      <c r="K190" s="31">
        <f t="shared" si="59"/>
        <v>383.94971999999996</v>
      </c>
      <c r="L190" s="36">
        <f t="shared" si="70"/>
        <v>2545.2759534255151</v>
      </c>
      <c r="M190" s="31">
        <f t="shared" si="61"/>
        <v>1180</v>
      </c>
      <c r="N190" s="36">
        <f t="shared" si="62"/>
        <v>4456.4996734255146</v>
      </c>
      <c r="O190" s="36">
        <f t="shared" si="63"/>
        <v>8912.9993468510293</v>
      </c>
      <c r="P190" s="36">
        <v>8617.8989468510299</v>
      </c>
      <c r="Q190" s="36">
        <f t="shared" si="53"/>
        <v>57087.000653148971</v>
      </c>
      <c r="R190" s="36">
        <v>27067.148033014771</v>
      </c>
      <c r="S190" s="36">
        <f t="shared" si="54"/>
        <v>8912.9993468510293</v>
      </c>
      <c r="T190" s="31">
        <v>66000</v>
      </c>
    </row>
    <row r="191" spans="2:20" x14ac:dyDescent="0.25">
      <c r="B191" s="30" t="s">
        <v>22</v>
      </c>
      <c r="C191" s="30">
        <v>30</v>
      </c>
      <c r="D191" s="30">
        <f t="shared" si="67"/>
        <v>880</v>
      </c>
      <c r="E191" s="34">
        <v>1</v>
      </c>
      <c r="F191" s="31">
        <f t="shared" si="68"/>
        <v>47</v>
      </c>
      <c r="G191" s="30">
        <f t="shared" si="65"/>
        <v>30</v>
      </c>
      <c r="H191" s="31">
        <f t="shared" si="57"/>
        <v>0</v>
      </c>
      <c r="I191" s="32">
        <f t="shared" si="69"/>
        <v>0</v>
      </c>
      <c r="J191" s="31">
        <v>347.274</v>
      </c>
      <c r="K191" s="31">
        <f t="shared" si="59"/>
        <v>383.94971999999996</v>
      </c>
      <c r="L191" s="36">
        <f t="shared" si="70"/>
        <v>2545.2759534255151</v>
      </c>
      <c r="M191" s="31">
        <f t="shared" si="61"/>
        <v>0</v>
      </c>
      <c r="N191" s="36">
        <f t="shared" si="62"/>
        <v>3276.4996734255151</v>
      </c>
      <c r="O191" s="36">
        <f t="shared" si="63"/>
        <v>0</v>
      </c>
      <c r="P191" s="36">
        <v>0</v>
      </c>
      <c r="Q191" s="36">
        <f t="shared" si="53"/>
        <v>66000</v>
      </c>
      <c r="R191" s="36">
        <v>33557.046979865801</v>
      </c>
      <c r="S191" s="36">
        <f t="shared" si="54"/>
        <v>0</v>
      </c>
      <c r="T191" s="31">
        <v>66000</v>
      </c>
    </row>
    <row r="192" spans="2:20" x14ac:dyDescent="0.25">
      <c r="B192" s="30" t="s">
        <v>22</v>
      </c>
      <c r="C192" s="30">
        <v>30</v>
      </c>
      <c r="D192" s="30">
        <f t="shared" si="67"/>
        <v>910</v>
      </c>
      <c r="E192" s="34">
        <v>1</v>
      </c>
      <c r="F192" s="31">
        <f t="shared" si="68"/>
        <v>48</v>
      </c>
      <c r="G192" s="30">
        <f t="shared" si="65"/>
        <v>30</v>
      </c>
      <c r="H192" s="31">
        <f t="shared" si="57"/>
        <v>0</v>
      </c>
      <c r="I192" s="32">
        <f t="shared" si="69"/>
        <v>0</v>
      </c>
      <c r="J192" s="31">
        <v>347.274</v>
      </c>
      <c r="K192" s="31">
        <f t="shared" si="59"/>
        <v>383.94971999999996</v>
      </c>
      <c r="L192" s="36">
        <f t="shared" si="70"/>
        <v>2545.2759534255151</v>
      </c>
      <c r="M192" s="31">
        <f t="shared" si="61"/>
        <v>0</v>
      </c>
      <c r="N192" s="36">
        <f t="shared" si="62"/>
        <v>3276.4996734255151</v>
      </c>
      <c r="O192" s="36">
        <f t="shared" si="63"/>
        <v>0</v>
      </c>
      <c r="P192" s="36">
        <v>0</v>
      </c>
      <c r="Q192" s="36">
        <f t="shared" si="53"/>
        <v>66000</v>
      </c>
      <c r="R192" s="36">
        <v>33557.046979865801</v>
      </c>
      <c r="S192" s="36">
        <f t="shared" si="54"/>
        <v>0</v>
      </c>
      <c r="T192" s="31">
        <v>66000</v>
      </c>
    </row>
    <row r="193" spans="2:20" x14ac:dyDescent="0.25">
      <c r="B193" s="30" t="s">
        <v>22</v>
      </c>
      <c r="C193" s="30">
        <v>30</v>
      </c>
      <c r="D193" s="30">
        <f t="shared" si="67"/>
        <v>940</v>
      </c>
      <c r="E193" s="34">
        <v>1</v>
      </c>
      <c r="F193" s="31">
        <f t="shared" si="68"/>
        <v>49</v>
      </c>
      <c r="G193" s="30">
        <f t="shared" si="65"/>
        <v>30</v>
      </c>
      <c r="H193" s="31">
        <f t="shared" si="57"/>
        <v>0</v>
      </c>
      <c r="I193" s="32">
        <f t="shared" si="69"/>
        <v>0</v>
      </c>
      <c r="J193" s="31">
        <v>347.274</v>
      </c>
      <c r="K193" s="31">
        <f t="shared" si="59"/>
        <v>383.94971999999996</v>
      </c>
      <c r="L193" s="36">
        <f t="shared" si="70"/>
        <v>2545.2759534255151</v>
      </c>
      <c r="M193" s="31">
        <f t="shared" si="61"/>
        <v>0</v>
      </c>
      <c r="N193" s="36">
        <f t="shared" si="62"/>
        <v>3276.4996734255151</v>
      </c>
      <c r="O193" s="36">
        <f t="shared" si="63"/>
        <v>0</v>
      </c>
      <c r="P193" s="36">
        <v>0</v>
      </c>
      <c r="Q193" s="36">
        <f t="shared" si="53"/>
        <v>66000</v>
      </c>
      <c r="R193" s="36">
        <v>33557.046979865801</v>
      </c>
      <c r="S193" s="36">
        <f t="shared" si="54"/>
        <v>0</v>
      </c>
      <c r="T193" s="31">
        <v>66000</v>
      </c>
    </row>
    <row r="194" spans="2:20" x14ac:dyDescent="0.25">
      <c r="B194" s="30" t="s">
        <v>22</v>
      </c>
      <c r="C194" s="30">
        <v>30</v>
      </c>
      <c r="D194" s="30">
        <f t="shared" si="67"/>
        <v>970</v>
      </c>
      <c r="E194" s="34">
        <v>1</v>
      </c>
      <c r="F194" s="31">
        <f t="shared" si="68"/>
        <v>50</v>
      </c>
      <c r="G194" s="30">
        <f t="shared" si="65"/>
        <v>30</v>
      </c>
      <c r="H194" s="31">
        <f t="shared" si="57"/>
        <v>0</v>
      </c>
      <c r="I194" s="32">
        <f t="shared" si="69"/>
        <v>0</v>
      </c>
      <c r="J194" s="31">
        <v>347.274</v>
      </c>
      <c r="K194" s="31">
        <f t="shared" si="59"/>
        <v>383.94971999999996</v>
      </c>
      <c r="L194" s="36">
        <f t="shared" si="70"/>
        <v>2545.2759534255151</v>
      </c>
      <c r="M194" s="31">
        <f t="shared" si="61"/>
        <v>0</v>
      </c>
      <c r="N194" s="36">
        <f t="shared" si="62"/>
        <v>3276.4996734255151</v>
      </c>
      <c r="O194" s="36">
        <f t="shared" si="63"/>
        <v>0</v>
      </c>
      <c r="P194" s="36">
        <v>0</v>
      </c>
      <c r="Q194" s="36">
        <f t="shared" si="53"/>
        <v>66000</v>
      </c>
      <c r="R194" s="36">
        <v>33557.046979865801</v>
      </c>
      <c r="S194" s="36">
        <f t="shared" si="54"/>
        <v>0</v>
      </c>
      <c r="T194" s="31">
        <v>66000</v>
      </c>
    </row>
    <row r="195" spans="2:20" x14ac:dyDescent="0.25">
      <c r="B195" s="30" t="s">
        <v>22</v>
      </c>
      <c r="C195" s="30">
        <v>30</v>
      </c>
      <c r="D195" s="30">
        <f t="shared" si="67"/>
        <v>1000</v>
      </c>
      <c r="E195" s="34">
        <v>1</v>
      </c>
      <c r="F195" s="31">
        <f t="shared" si="68"/>
        <v>51</v>
      </c>
      <c r="G195" s="30">
        <f t="shared" si="65"/>
        <v>30</v>
      </c>
      <c r="H195" s="31">
        <f t="shared" si="57"/>
        <v>0</v>
      </c>
      <c r="I195" s="32">
        <f t="shared" si="69"/>
        <v>0</v>
      </c>
      <c r="J195" s="31">
        <v>347.274</v>
      </c>
      <c r="K195" s="31">
        <f t="shared" si="59"/>
        <v>383.94971999999996</v>
      </c>
      <c r="L195" s="36">
        <f t="shared" si="70"/>
        <v>2545.2759534255151</v>
      </c>
      <c r="M195" s="31">
        <f t="shared" si="61"/>
        <v>0</v>
      </c>
      <c r="N195" s="36">
        <f t="shared" si="62"/>
        <v>3276.4996734255151</v>
      </c>
      <c r="O195" s="36">
        <f t="shared" si="63"/>
        <v>0</v>
      </c>
      <c r="P195" s="36">
        <v>0</v>
      </c>
      <c r="Q195" s="36">
        <f t="shared" si="53"/>
        <v>66000</v>
      </c>
      <c r="R195" s="36">
        <v>33557.046979865801</v>
      </c>
      <c r="S195" s="36">
        <f t="shared" si="54"/>
        <v>0</v>
      </c>
      <c r="T195" s="31">
        <v>66000</v>
      </c>
    </row>
  </sheetData>
  <mergeCells count="16">
    <mergeCell ref="B142:T142"/>
    <mergeCell ref="E131:F131"/>
    <mergeCell ref="E137:G139"/>
    <mergeCell ref="B1:S1"/>
    <mergeCell ref="F24:N24"/>
    <mergeCell ref="B51:T51"/>
    <mergeCell ref="B111:C111"/>
    <mergeCell ref="H111:I111"/>
    <mergeCell ref="K111:M111"/>
    <mergeCell ref="H130:I130"/>
    <mergeCell ref="B122:C122"/>
    <mergeCell ref="E111:F111"/>
    <mergeCell ref="E119:F119"/>
    <mergeCell ref="H119:I119"/>
    <mergeCell ref="E120:F120"/>
    <mergeCell ref="E122:F122"/>
  </mergeCells>
  <hyperlinks>
    <hyperlink ref="X102" r:id="rId1"/>
    <hyperlink ref="X103" r:id="rId2"/>
    <hyperlink ref="X104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4"/>
  <sheetViews>
    <sheetView topLeftCell="C1" zoomScale="90" zoomScaleNormal="90" workbookViewId="0">
      <pane ySplit="2" topLeftCell="A36" activePane="bottomLeft" state="frozen"/>
      <selection activeCell="C1" sqref="C1"/>
      <selection pane="bottomLeft" activeCell="C21" sqref="C21"/>
    </sheetView>
  </sheetViews>
  <sheetFormatPr defaultRowHeight="15" x14ac:dyDescent="0.25"/>
  <cols>
    <col min="2" max="2" width="42.85546875" bestFit="1" customWidth="1"/>
    <col min="3" max="3" width="27.42578125" bestFit="1" customWidth="1"/>
    <col min="5" max="5" width="1.42578125" customWidth="1"/>
    <col min="6" max="6" width="9.140625" customWidth="1"/>
    <col min="7" max="7" width="11.140625" bestFit="1" customWidth="1"/>
    <col min="8" max="8" width="2" customWidth="1"/>
    <col min="9" max="9" width="2.42578125" customWidth="1"/>
    <col min="10" max="10" width="2.140625" customWidth="1"/>
    <col min="11" max="11" width="11" bestFit="1" customWidth="1"/>
    <col min="12" max="12" width="27.140625" bestFit="1" customWidth="1"/>
    <col min="13" max="13" width="30.7109375" bestFit="1" customWidth="1"/>
    <col min="14" max="14" width="30.140625" bestFit="1" customWidth="1"/>
    <col min="15" max="15" width="24.85546875" bestFit="1" customWidth="1"/>
    <col min="16" max="16" width="24.42578125" bestFit="1" customWidth="1"/>
    <col min="17" max="17" width="17.7109375" bestFit="1" customWidth="1"/>
    <col min="18" max="18" width="14.42578125" bestFit="1" customWidth="1"/>
    <col min="19" max="20" width="1.85546875" customWidth="1"/>
    <col min="21" max="21" width="2.42578125" customWidth="1"/>
    <col min="22" max="22" width="17.42578125" customWidth="1"/>
    <col min="23" max="23" width="86.7109375" bestFit="1" customWidth="1"/>
  </cols>
  <sheetData>
    <row r="1" spans="2:23" x14ac:dyDescent="0.25">
      <c r="B1" s="7" t="s">
        <v>0</v>
      </c>
      <c r="C1" s="7" t="s">
        <v>4</v>
      </c>
      <c r="F1" s="47" t="s">
        <v>31</v>
      </c>
      <c r="G1" s="48"/>
      <c r="K1" s="49" t="s">
        <v>5</v>
      </c>
      <c r="L1" s="50"/>
      <c r="M1" s="50"/>
      <c r="N1" s="50"/>
      <c r="O1" s="50"/>
      <c r="P1" s="50"/>
      <c r="Q1" s="50"/>
      <c r="R1" s="51"/>
      <c r="V1" s="52" t="s">
        <v>101</v>
      </c>
      <c r="W1" s="53"/>
    </row>
    <row r="2" spans="2:23" x14ac:dyDescent="0.25">
      <c r="B2" s="6" t="s">
        <v>1</v>
      </c>
      <c r="C2" s="6" t="s">
        <v>42</v>
      </c>
      <c r="F2" s="2" t="s">
        <v>32</v>
      </c>
      <c r="G2" s="2" t="s">
        <v>35</v>
      </c>
      <c r="K2" s="18" t="s">
        <v>6</v>
      </c>
      <c r="L2" s="18" t="s">
        <v>23</v>
      </c>
      <c r="M2" s="18" t="s">
        <v>24</v>
      </c>
      <c r="N2" s="18" t="s">
        <v>25</v>
      </c>
      <c r="O2" s="18" t="s">
        <v>26</v>
      </c>
      <c r="P2" s="18" t="s">
        <v>27</v>
      </c>
      <c r="Q2" s="18" t="s">
        <v>30</v>
      </c>
      <c r="R2" s="18" t="s">
        <v>111</v>
      </c>
      <c r="V2" s="22" t="s">
        <v>28</v>
      </c>
      <c r="W2" s="22" t="s">
        <v>29</v>
      </c>
    </row>
    <row r="3" spans="2:23" x14ac:dyDescent="0.25">
      <c r="B3" s="6" t="s">
        <v>2</v>
      </c>
      <c r="C3" s="6" t="s">
        <v>54</v>
      </c>
      <c r="F3" s="2" t="s">
        <v>33</v>
      </c>
      <c r="G3" s="2" t="s">
        <v>36</v>
      </c>
      <c r="K3" s="3" t="s">
        <v>7</v>
      </c>
      <c r="L3" s="3">
        <v>-10</v>
      </c>
      <c r="M3" s="3">
        <v>3.65</v>
      </c>
      <c r="N3" s="3">
        <v>150</v>
      </c>
      <c r="O3" s="3">
        <f>(N3)</f>
        <v>150</v>
      </c>
      <c r="P3" s="3">
        <v>0.06</v>
      </c>
      <c r="Q3" s="4">
        <v>1.2</v>
      </c>
      <c r="R3" s="3">
        <v>9.81</v>
      </c>
      <c r="V3" s="22" t="s">
        <v>38</v>
      </c>
      <c r="W3" s="22" t="s">
        <v>37</v>
      </c>
    </row>
    <row r="4" spans="2:23" x14ac:dyDescent="0.25">
      <c r="B4" s="6" t="s">
        <v>62</v>
      </c>
      <c r="C4" s="6">
        <f>(C20*C19*0.7)</f>
        <v>1871099.9999999998</v>
      </c>
      <c r="F4" s="2" t="s">
        <v>34</v>
      </c>
      <c r="G4" s="2">
        <v>9</v>
      </c>
      <c r="K4" s="5" t="s">
        <v>8</v>
      </c>
      <c r="L4" s="3">
        <v>-6</v>
      </c>
      <c r="M4" s="3">
        <v>3.65</v>
      </c>
      <c r="N4" s="3">
        <v>68</v>
      </c>
      <c r="O4" s="3">
        <f>(O3+N4)</f>
        <v>218</v>
      </c>
      <c r="P4" s="3">
        <v>0.06</v>
      </c>
      <c r="Q4" s="4">
        <v>1.2</v>
      </c>
      <c r="R4" s="3">
        <v>9.81</v>
      </c>
      <c r="V4" s="22" t="s">
        <v>96</v>
      </c>
      <c r="W4" s="22" t="s">
        <v>97</v>
      </c>
    </row>
    <row r="5" spans="2:23" x14ac:dyDescent="0.25">
      <c r="B5" s="6" t="s">
        <v>3</v>
      </c>
      <c r="C5" s="6" t="s">
        <v>41</v>
      </c>
      <c r="K5" s="3" t="s">
        <v>9</v>
      </c>
      <c r="L5" s="3">
        <v>2.5</v>
      </c>
      <c r="M5" s="3">
        <v>3.65</v>
      </c>
      <c r="N5" s="3">
        <v>53.5</v>
      </c>
      <c r="O5" s="3">
        <f t="shared" ref="O5:O18" si="0">(O4+N5)</f>
        <v>271.5</v>
      </c>
      <c r="P5" s="3">
        <v>0.06</v>
      </c>
      <c r="Q5" s="4">
        <v>1.2</v>
      </c>
      <c r="R5" s="3">
        <v>9.81</v>
      </c>
      <c r="V5" s="22" t="s">
        <v>98</v>
      </c>
      <c r="W5" s="22" t="s">
        <v>99</v>
      </c>
    </row>
    <row r="6" spans="2:23" x14ac:dyDescent="0.25">
      <c r="B6" s="6" t="s">
        <v>65</v>
      </c>
      <c r="C6" s="6">
        <f>0.635*3.1415926</f>
        <v>1.9949113010000001</v>
      </c>
      <c r="K6" s="3" t="s">
        <v>10</v>
      </c>
      <c r="L6" s="3">
        <v>5.5</v>
      </c>
      <c r="M6" s="3">
        <v>3.65</v>
      </c>
      <c r="N6" s="3">
        <v>80</v>
      </c>
      <c r="O6" s="3">
        <f t="shared" si="0"/>
        <v>351.5</v>
      </c>
      <c r="P6" s="3">
        <v>0.06</v>
      </c>
      <c r="Q6" s="4">
        <v>1.2</v>
      </c>
      <c r="R6" s="3">
        <v>9.81</v>
      </c>
      <c r="V6" s="22" t="s">
        <v>107</v>
      </c>
      <c r="W6" s="22" t="s">
        <v>108</v>
      </c>
    </row>
    <row r="7" spans="2:23" x14ac:dyDescent="0.25">
      <c r="B7" s="6" t="s">
        <v>66</v>
      </c>
      <c r="C7" s="6">
        <f>0.635*3.1415926</f>
        <v>1.9949113010000001</v>
      </c>
      <c r="K7" s="3" t="s">
        <v>11</v>
      </c>
      <c r="L7" s="3">
        <v>2.5</v>
      </c>
      <c r="M7" s="3">
        <v>3.65</v>
      </c>
      <c r="N7" s="3">
        <v>31</v>
      </c>
      <c r="O7" s="3">
        <f t="shared" si="0"/>
        <v>382.5</v>
      </c>
      <c r="P7" s="3">
        <v>0.06</v>
      </c>
      <c r="Q7" s="4">
        <v>1.2</v>
      </c>
      <c r="R7" s="3">
        <v>9.81</v>
      </c>
      <c r="V7" s="17"/>
      <c r="W7" s="17"/>
    </row>
    <row r="8" spans="2:23" x14ac:dyDescent="0.25">
      <c r="B8" s="6" t="s">
        <v>68</v>
      </c>
      <c r="C8" s="6">
        <v>9</v>
      </c>
      <c r="K8" s="3" t="s">
        <v>12</v>
      </c>
      <c r="L8" s="3">
        <v>2</v>
      </c>
      <c r="M8" s="3">
        <v>3.65</v>
      </c>
      <c r="N8" s="3">
        <v>29</v>
      </c>
      <c r="O8" s="3">
        <f t="shared" si="0"/>
        <v>411.5</v>
      </c>
      <c r="P8" s="3">
        <v>0.06</v>
      </c>
      <c r="Q8" s="4">
        <v>1.2</v>
      </c>
      <c r="R8" s="3">
        <v>9.81</v>
      </c>
      <c r="V8" s="17"/>
      <c r="W8" s="17"/>
    </row>
    <row r="9" spans="2:23" x14ac:dyDescent="0.25">
      <c r="B9" s="6" t="s">
        <v>63</v>
      </c>
      <c r="C9" s="6">
        <v>12</v>
      </c>
      <c r="K9" s="3" t="s">
        <v>13</v>
      </c>
      <c r="L9" s="3">
        <v>2.5</v>
      </c>
      <c r="M9" s="3">
        <v>3.65</v>
      </c>
      <c r="N9" s="3">
        <v>32</v>
      </c>
      <c r="O9" s="3">
        <f t="shared" si="0"/>
        <v>443.5</v>
      </c>
      <c r="P9" s="3">
        <v>0.06</v>
      </c>
      <c r="Q9" s="4">
        <v>1.2</v>
      </c>
      <c r="R9" s="3">
        <v>9.81</v>
      </c>
      <c r="V9" s="17"/>
      <c r="W9" s="17"/>
    </row>
    <row r="10" spans="2:23" x14ac:dyDescent="0.25">
      <c r="B10" s="6" t="s">
        <v>64</v>
      </c>
      <c r="C10" s="6">
        <v>10</v>
      </c>
      <c r="K10" s="3" t="s">
        <v>14</v>
      </c>
      <c r="L10" s="3">
        <v>2</v>
      </c>
      <c r="M10" s="3">
        <v>3.65</v>
      </c>
      <c r="N10" s="3">
        <v>35.5</v>
      </c>
      <c r="O10" s="3">
        <f t="shared" si="0"/>
        <v>479</v>
      </c>
      <c r="P10" s="3">
        <v>0.06</v>
      </c>
      <c r="Q10" s="4">
        <v>1.2</v>
      </c>
      <c r="R10" s="3">
        <v>9.81</v>
      </c>
      <c r="V10" s="17"/>
      <c r="W10" s="17"/>
    </row>
    <row r="11" spans="2:23" x14ac:dyDescent="0.25">
      <c r="B11" s="6" t="s">
        <v>39</v>
      </c>
      <c r="C11" s="6">
        <v>6</v>
      </c>
      <c r="K11" s="3" t="s">
        <v>15</v>
      </c>
      <c r="L11" s="3">
        <v>2</v>
      </c>
      <c r="M11" s="3">
        <v>3.65</v>
      </c>
      <c r="N11" s="3">
        <v>44</v>
      </c>
      <c r="O11" s="3">
        <f t="shared" si="0"/>
        <v>523</v>
      </c>
      <c r="P11" s="3">
        <v>0.06</v>
      </c>
      <c r="Q11" s="4">
        <v>1.2</v>
      </c>
      <c r="R11" s="3">
        <v>9.81</v>
      </c>
      <c r="V11" s="17"/>
      <c r="W11" s="17"/>
    </row>
    <row r="12" spans="2:23" x14ac:dyDescent="0.25">
      <c r="B12" s="6" t="s">
        <v>103</v>
      </c>
      <c r="C12" s="6" t="s">
        <v>45</v>
      </c>
      <c r="K12" s="3" t="s">
        <v>16</v>
      </c>
      <c r="L12" s="3">
        <v>2.5</v>
      </c>
      <c r="M12" s="3">
        <v>3.65</v>
      </c>
      <c r="N12" s="3">
        <v>58</v>
      </c>
      <c r="O12" s="3">
        <f t="shared" si="0"/>
        <v>581</v>
      </c>
      <c r="P12" s="3">
        <v>0.06</v>
      </c>
      <c r="Q12" s="4">
        <v>1.2</v>
      </c>
      <c r="R12" s="3">
        <v>9.81</v>
      </c>
    </row>
    <row r="13" spans="2:23" x14ac:dyDescent="0.25">
      <c r="B13" s="6" t="s">
        <v>43</v>
      </c>
      <c r="C13" s="6" t="s">
        <v>44</v>
      </c>
      <c r="K13" s="3" t="s">
        <v>17</v>
      </c>
      <c r="L13" s="3">
        <v>1.5</v>
      </c>
      <c r="M13" s="3">
        <v>3.65</v>
      </c>
      <c r="N13" s="3">
        <v>40</v>
      </c>
      <c r="O13" s="3">
        <f t="shared" si="0"/>
        <v>621</v>
      </c>
      <c r="P13" s="3">
        <v>0.06</v>
      </c>
      <c r="Q13" s="4">
        <v>1.2</v>
      </c>
      <c r="R13" s="3">
        <v>9.81</v>
      </c>
    </row>
    <row r="14" spans="2:23" x14ac:dyDescent="0.25">
      <c r="B14" s="6" t="s">
        <v>46</v>
      </c>
      <c r="C14" s="6" t="s">
        <v>47</v>
      </c>
      <c r="K14" s="3" t="s">
        <v>18</v>
      </c>
      <c r="L14" s="3">
        <v>2</v>
      </c>
      <c r="M14" s="3">
        <v>3.65</v>
      </c>
      <c r="N14" s="3">
        <v>68</v>
      </c>
      <c r="O14" s="3">
        <f t="shared" si="0"/>
        <v>689</v>
      </c>
      <c r="P14" s="3">
        <v>0.06</v>
      </c>
      <c r="Q14" s="4">
        <v>1.2</v>
      </c>
      <c r="R14" s="3">
        <v>9.81</v>
      </c>
    </row>
    <row r="15" spans="2:23" x14ac:dyDescent="0.25">
      <c r="B15" s="6" t="s">
        <v>48</v>
      </c>
      <c r="C15" s="6" t="s">
        <v>49</v>
      </c>
      <c r="K15" s="3" t="s">
        <v>19</v>
      </c>
      <c r="L15" s="3">
        <v>3</v>
      </c>
      <c r="M15" s="3">
        <v>3.65</v>
      </c>
      <c r="N15" s="3">
        <v>31</v>
      </c>
      <c r="O15" s="3">
        <f t="shared" si="0"/>
        <v>720</v>
      </c>
      <c r="P15" s="3">
        <v>0.06</v>
      </c>
      <c r="Q15" s="4">
        <v>1.2</v>
      </c>
      <c r="R15" s="3">
        <v>9.81</v>
      </c>
    </row>
    <row r="16" spans="2:23" x14ac:dyDescent="0.25">
      <c r="B16" s="6" t="s">
        <v>50</v>
      </c>
      <c r="C16" s="6" t="s">
        <v>51</v>
      </c>
      <c r="K16" s="3" t="s">
        <v>20</v>
      </c>
      <c r="L16" s="3">
        <v>2</v>
      </c>
      <c r="M16" s="3">
        <v>3.65</v>
      </c>
      <c r="N16" s="3">
        <v>20</v>
      </c>
      <c r="O16" s="3">
        <f t="shared" si="0"/>
        <v>740</v>
      </c>
      <c r="P16" s="3">
        <v>0.06</v>
      </c>
      <c r="Q16" s="4">
        <v>1.2</v>
      </c>
      <c r="R16" s="3">
        <v>9.81</v>
      </c>
    </row>
    <row r="17" spans="2:18" x14ac:dyDescent="0.25">
      <c r="B17" s="6" t="s">
        <v>52</v>
      </c>
      <c r="C17" s="6" t="s">
        <v>53</v>
      </c>
      <c r="K17" s="3" t="s">
        <v>21</v>
      </c>
      <c r="L17" s="3">
        <v>-2</v>
      </c>
      <c r="M17" s="3">
        <v>3.65</v>
      </c>
      <c r="N17" s="3">
        <v>80</v>
      </c>
      <c r="O17" s="3">
        <f t="shared" si="0"/>
        <v>820</v>
      </c>
      <c r="P17" s="3">
        <v>0.06</v>
      </c>
      <c r="Q17" s="4">
        <v>1.2</v>
      </c>
      <c r="R17" s="3">
        <v>9.81</v>
      </c>
    </row>
    <row r="18" spans="2:18" x14ac:dyDescent="0.25">
      <c r="B18" s="6" t="s">
        <v>106</v>
      </c>
      <c r="C18" s="6">
        <v>2620</v>
      </c>
      <c r="K18" s="3" t="s">
        <v>22</v>
      </c>
      <c r="L18" s="3">
        <v>-12</v>
      </c>
      <c r="M18" s="3">
        <v>3.65</v>
      </c>
      <c r="N18" s="3">
        <v>180</v>
      </c>
      <c r="O18" s="3">
        <f t="shared" si="0"/>
        <v>1000</v>
      </c>
      <c r="P18" s="3">
        <v>0.06</v>
      </c>
      <c r="Q18" s="4">
        <v>1.2</v>
      </c>
      <c r="R18" s="3">
        <v>9.81</v>
      </c>
    </row>
    <row r="19" spans="2:18" x14ac:dyDescent="0.25">
      <c r="B19" s="6" t="s">
        <v>105</v>
      </c>
      <c r="C19" s="6">
        <v>1650</v>
      </c>
    </row>
    <row r="20" spans="2:18" x14ac:dyDescent="0.25">
      <c r="B20" s="6" t="s">
        <v>104</v>
      </c>
      <c r="C20" s="6">
        <v>1620</v>
      </c>
      <c r="G20" s="25"/>
      <c r="H20" s="25"/>
      <c r="I20" s="25"/>
      <c r="J20" s="25"/>
    </row>
    <row r="21" spans="2:18" x14ac:dyDescent="0.25">
      <c r="B21" s="6" t="s">
        <v>55</v>
      </c>
      <c r="C21" s="6" t="s">
        <v>67</v>
      </c>
      <c r="D21" s="43">
        <v>63.5</v>
      </c>
      <c r="G21" s="23"/>
      <c r="H21" s="23"/>
      <c r="I21" s="23"/>
      <c r="J21" s="23"/>
      <c r="K21" s="23"/>
      <c r="L21" s="24"/>
      <c r="M21" s="24"/>
    </row>
    <row r="22" spans="2:18" x14ac:dyDescent="0.25">
      <c r="B22" s="6" t="s">
        <v>56</v>
      </c>
      <c r="C22" s="6" t="s">
        <v>57</v>
      </c>
      <c r="D22" s="43">
        <v>63.5</v>
      </c>
    </row>
    <row r="23" spans="2:18" x14ac:dyDescent="0.25">
      <c r="B23" s="6" t="s">
        <v>58</v>
      </c>
      <c r="C23" s="6">
        <f>45/1.341</f>
        <v>33.557046979865774</v>
      </c>
    </row>
    <row r="24" spans="2:18" x14ac:dyDescent="0.25">
      <c r="B24" s="6" t="s">
        <v>102</v>
      </c>
      <c r="C24" s="6">
        <v>0.38</v>
      </c>
    </row>
  </sheetData>
  <mergeCells count="3">
    <mergeCell ref="F1:G1"/>
    <mergeCell ref="K1:R1"/>
    <mergeCell ref="V1:W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7"/>
  <sheetViews>
    <sheetView topLeftCell="I1" zoomScale="90" zoomScaleNormal="90" workbookViewId="0">
      <selection activeCell="N3" sqref="N3"/>
    </sheetView>
  </sheetViews>
  <sheetFormatPr defaultRowHeight="15" x14ac:dyDescent="0.25"/>
  <cols>
    <col min="2" max="2" width="43.85546875" bestFit="1" customWidth="1"/>
    <col min="3" max="3" width="30.140625" bestFit="1" customWidth="1"/>
    <col min="4" max="4" width="26.7109375" bestFit="1" customWidth="1"/>
    <col min="5" max="5" width="20.140625" bestFit="1" customWidth="1"/>
    <col min="6" max="6" width="22" bestFit="1" customWidth="1"/>
    <col min="7" max="7" width="28.42578125" bestFit="1" customWidth="1"/>
    <col min="8" max="8" width="20.85546875" bestFit="1" customWidth="1"/>
    <col min="9" max="9" width="33" bestFit="1" customWidth="1"/>
    <col min="10" max="10" width="35.28515625" bestFit="1" customWidth="1"/>
    <col min="11" max="11" width="30.85546875" bestFit="1" customWidth="1"/>
    <col min="12" max="12" width="27.140625" bestFit="1" customWidth="1"/>
    <col min="13" max="13" width="21.28515625" bestFit="1" customWidth="1"/>
    <col min="14" max="14" width="20.28515625" bestFit="1" customWidth="1"/>
    <col min="15" max="15" width="20.28515625" customWidth="1"/>
    <col min="16" max="16" width="26.7109375" bestFit="1" customWidth="1"/>
    <col min="17" max="17" width="26.7109375" customWidth="1"/>
    <col min="18" max="18" width="33.85546875" bestFit="1" customWidth="1"/>
    <col min="19" max="19" width="31.42578125" bestFit="1" customWidth="1"/>
    <col min="20" max="20" width="15" bestFit="1" customWidth="1"/>
  </cols>
  <sheetData>
    <row r="1" spans="2:19" x14ac:dyDescent="0.25">
      <c r="B1" s="55" t="s">
        <v>91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</row>
    <row r="2" spans="2:19" x14ac:dyDescent="0.25">
      <c r="B2" s="8" t="s">
        <v>83</v>
      </c>
      <c r="C2" s="8" t="s">
        <v>70</v>
      </c>
      <c r="D2" s="14" t="s">
        <v>109</v>
      </c>
      <c r="E2" s="8" t="s">
        <v>69</v>
      </c>
      <c r="F2" s="8" t="s">
        <v>110</v>
      </c>
      <c r="G2" s="8" t="s">
        <v>72</v>
      </c>
      <c r="H2" s="8" t="s">
        <v>82</v>
      </c>
      <c r="I2" s="8" t="s">
        <v>80</v>
      </c>
      <c r="J2" s="8" t="s">
        <v>73</v>
      </c>
      <c r="K2" s="8" t="s">
        <v>75</v>
      </c>
      <c r="L2" s="8" t="s">
        <v>77</v>
      </c>
      <c r="M2" s="8" t="s">
        <v>78</v>
      </c>
      <c r="N2" s="8" t="s">
        <v>79</v>
      </c>
      <c r="O2" s="8" t="s">
        <v>79</v>
      </c>
      <c r="P2" s="8" t="s">
        <v>92</v>
      </c>
      <c r="Q2" s="8" t="s">
        <v>92</v>
      </c>
      <c r="R2" s="8" t="s">
        <v>93</v>
      </c>
      <c r="S2" s="8" t="s">
        <v>100</v>
      </c>
    </row>
    <row r="3" spans="2:19" x14ac:dyDescent="0.25">
      <c r="B3" s="9" t="s">
        <v>71</v>
      </c>
      <c r="C3" s="9">
        <v>0</v>
      </c>
      <c r="D3" s="12">
        <f>C3</f>
        <v>0</v>
      </c>
      <c r="E3" s="9">
        <v>0</v>
      </c>
      <c r="F3" s="12">
        <f>E3</f>
        <v>0</v>
      </c>
      <c r="G3" s="9">
        <v>0</v>
      </c>
      <c r="H3" s="12">
        <f>0</f>
        <v>0</v>
      </c>
      <c r="I3" s="16">
        <f>(9.81/100)*H3</f>
        <v>0</v>
      </c>
      <c r="J3" s="12">
        <f>$C$26*N27*L27</f>
        <v>214.839</v>
      </c>
      <c r="K3" s="9">
        <v>0</v>
      </c>
      <c r="L3" s="9">
        <v>0</v>
      </c>
      <c r="M3" s="9">
        <f>J3+K3+L3</f>
        <v>214.839</v>
      </c>
      <c r="N3" s="9">
        <f t="shared" ref="N3:N19" si="0">M3*G3</f>
        <v>0</v>
      </c>
      <c r="O3" s="9">
        <v>0</v>
      </c>
      <c r="P3" s="9">
        <f t="shared" ref="P3:P19" si="1">33557.0469798658-N3</f>
        <v>33557.046979865801</v>
      </c>
      <c r="Q3" s="9">
        <v>33557.046979865801</v>
      </c>
      <c r="R3" s="12">
        <f>0</f>
        <v>0</v>
      </c>
      <c r="S3" s="12">
        <f t="shared" ref="S3:S19" si="2">N3+P3</f>
        <v>33557.046979865801</v>
      </c>
    </row>
    <row r="4" spans="2:19" x14ac:dyDescent="0.25">
      <c r="B4" s="9" t="s">
        <v>7</v>
      </c>
      <c r="C4" s="9">
        <v>150</v>
      </c>
      <c r="D4" s="12">
        <f>C4+D3</f>
        <v>150</v>
      </c>
      <c r="E4" s="12">
        <v>7</v>
      </c>
      <c r="F4" s="12">
        <f t="shared" ref="F4:F19" si="3">E4+F3</f>
        <v>7</v>
      </c>
      <c r="G4" s="9">
        <f>C4/E4</f>
        <v>21.428571428571427</v>
      </c>
      <c r="H4" s="12">
        <f>(G4-G3)/E4</f>
        <v>3.0612244897959182</v>
      </c>
      <c r="I4" s="16">
        <f t="shared" ref="I4:I19" si="4">(9.81/100)*H4</f>
        <v>0.30030612244897958</v>
      </c>
      <c r="J4" s="12">
        <f>$C$26*N28*L28</f>
        <v>214.839</v>
      </c>
      <c r="K4" s="12">
        <f>0.5*$C$27*$C$47*M27*(G4*G4)</f>
        <v>195.89271428571425</v>
      </c>
      <c r="L4" s="12">
        <f>$C$26*9.81*-SIN(I27)</f>
        <v>-1743.01261350903</v>
      </c>
      <c r="M4" s="9">
        <f>J4+K4+L4</f>
        <v>-1332.2808992233158</v>
      </c>
      <c r="N4" s="13">
        <f t="shared" si="0"/>
        <v>-28548.876411928195</v>
      </c>
      <c r="O4" s="13">
        <v>28548.876411928199</v>
      </c>
      <c r="P4" s="13">
        <f t="shared" si="1"/>
        <v>62105.923391794</v>
      </c>
      <c r="Q4" s="9">
        <v>33557.046979865801</v>
      </c>
      <c r="R4" s="13">
        <f t="shared" ref="R4:R19" si="5">N4/E4</f>
        <v>-4078.4109159897421</v>
      </c>
      <c r="S4" s="12">
        <f t="shared" si="2"/>
        <v>33557.046979865801</v>
      </c>
    </row>
    <row r="5" spans="2:19" x14ac:dyDescent="0.25">
      <c r="B5" s="10" t="s">
        <v>8</v>
      </c>
      <c r="C5" s="9">
        <v>68</v>
      </c>
      <c r="D5" s="12">
        <f t="shared" ref="D5:D19" si="6">C5+D4</f>
        <v>218</v>
      </c>
      <c r="E5" s="12">
        <v>3</v>
      </c>
      <c r="F5" s="12">
        <f t="shared" si="3"/>
        <v>10</v>
      </c>
      <c r="G5" s="9">
        <f t="shared" ref="G5:G19" si="7">C5/E5</f>
        <v>22.666666666666668</v>
      </c>
      <c r="H5" s="12">
        <f t="shared" ref="H5:H19" si="8">(G5-G4)/E5</f>
        <v>0.41269841269841362</v>
      </c>
      <c r="I5" s="16">
        <f t="shared" si="4"/>
        <v>4.0485714285714382E-2</v>
      </c>
      <c r="J5" s="12">
        <f t="shared" ref="J5:J19" si="9">$C$26*N28*L28</f>
        <v>214.839</v>
      </c>
      <c r="K5" s="12">
        <f t="shared" ref="K5:K19" si="10">0.5*$C$27*$C$47*M28*(G5*G5)</f>
        <v>219.1831488</v>
      </c>
      <c r="L5" s="12">
        <f t="shared" ref="L5:L19" si="11">$C$26*9.81*-SIN(I28)</f>
        <v>-1743.01261350903</v>
      </c>
      <c r="M5" s="9">
        <f t="shared" ref="M5:M19" si="12">J5+K5+L5</f>
        <v>-1308.99046470903</v>
      </c>
      <c r="N5" s="13">
        <f t="shared" si="0"/>
        <v>-29670.450533404681</v>
      </c>
      <c r="O5" s="13">
        <v>29670.450533404699</v>
      </c>
      <c r="P5" s="13">
        <f t="shared" si="1"/>
        <v>63227.497513270486</v>
      </c>
      <c r="Q5" s="9">
        <v>33557.046979865801</v>
      </c>
      <c r="R5" s="13">
        <f t="shared" si="5"/>
        <v>-9890.1501778015609</v>
      </c>
      <c r="S5" s="12">
        <f t="shared" si="2"/>
        <v>33557.046979865801</v>
      </c>
    </row>
    <row r="6" spans="2:19" x14ac:dyDescent="0.25">
      <c r="B6" s="9" t="s">
        <v>9</v>
      </c>
      <c r="C6" s="9">
        <v>53.5</v>
      </c>
      <c r="D6" s="12">
        <f t="shared" si="6"/>
        <v>271.5</v>
      </c>
      <c r="E6" s="12">
        <v>3.5</v>
      </c>
      <c r="F6" s="12">
        <f t="shared" si="3"/>
        <v>13.5</v>
      </c>
      <c r="G6" s="9">
        <f t="shared" si="7"/>
        <v>15.285714285714286</v>
      </c>
      <c r="H6" s="12">
        <f t="shared" si="8"/>
        <v>-2.1088435374149661</v>
      </c>
      <c r="I6" s="16">
        <f t="shared" si="4"/>
        <v>-0.2068775510204082</v>
      </c>
      <c r="J6" s="12">
        <f t="shared" si="9"/>
        <v>214.839</v>
      </c>
      <c r="K6" s="12">
        <f t="shared" si="10"/>
        <v>99.678919371428577</v>
      </c>
      <c r="L6" s="12">
        <f t="shared" si="11"/>
        <v>1743.01261350903</v>
      </c>
      <c r="M6" s="9">
        <f t="shared" si="12"/>
        <v>2057.5305328804584</v>
      </c>
      <c r="N6" s="9">
        <f t="shared" si="0"/>
        <v>31450.823859744152</v>
      </c>
      <c r="O6" s="9">
        <v>31450.823859744152</v>
      </c>
      <c r="P6" s="9">
        <f t="shared" si="1"/>
        <v>2106.2231201216491</v>
      </c>
      <c r="Q6" s="9">
        <v>2106.2231201216491</v>
      </c>
      <c r="R6" s="12">
        <f t="shared" si="5"/>
        <v>8985.9496742126157</v>
      </c>
      <c r="S6" s="12">
        <f t="shared" si="2"/>
        <v>33557.046979865801</v>
      </c>
    </row>
    <row r="7" spans="2:19" x14ac:dyDescent="0.25">
      <c r="B7" s="9" t="s">
        <v>10</v>
      </c>
      <c r="C7" s="9">
        <v>80</v>
      </c>
      <c r="D7" s="12">
        <f t="shared" si="6"/>
        <v>351.5</v>
      </c>
      <c r="E7" s="12">
        <v>5</v>
      </c>
      <c r="F7" s="12">
        <f t="shared" si="3"/>
        <v>18.5</v>
      </c>
      <c r="G7" s="9">
        <f t="shared" si="7"/>
        <v>16</v>
      </c>
      <c r="H7" s="12">
        <f t="shared" si="8"/>
        <v>0.14285714285714271</v>
      </c>
      <c r="I7" s="16">
        <f t="shared" si="4"/>
        <v>1.4014285714285701E-2</v>
      </c>
      <c r="J7" s="12">
        <f t="shared" si="9"/>
        <v>214.839</v>
      </c>
      <c r="K7" s="12">
        <f t="shared" si="10"/>
        <v>109.21236479999999</v>
      </c>
      <c r="L7" s="12">
        <f t="shared" si="11"/>
        <v>1743.01261350903</v>
      </c>
      <c r="M7" s="9">
        <f t="shared" si="12"/>
        <v>2067.0639783090301</v>
      </c>
      <c r="N7" s="9">
        <f t="shared" si="0"/>
        <v>33073.023652944481</v>
      </c>
      <c r="O7" s="9">
        <v>33073.023652944481</v>
      </c>
      <c r="P7" s="9">
        <f t="shared" si="1"/>
        <v>484.0233269213204</v>
      </c>
      <c r="Q7" s="9">
        <v>484.0233269213204</v>
      </c>
      <c r="R7" s="12">
        <f t="shared" si="5"/>
        <v>6614.604730588896</v>
      </c>
      <c r="S7" s="12">
        <f t="shared" si="2"/>
        <v>33557.046979865801</v>
      </c>
    </row>
    <row r="8" spans="2:19" x14ac:dyDescent="0.25">
      <c r="B8" s="9" t="s">
        <v>11</v>
      </c>
      <c r="C8" s="9">
        <v>31</v>
      </c>
      <c r="D8" s="12">
        <f t="shared" si="6"/>
        <v>382.5</v>
      </c>
      <c r="E8" s="12">
        <v>2</v>
      </c>
      <c r="F8" s="12">
        <f t="shared" si="3"/>
        <v>20.5</v>
      </c>
      <c r="G8" s="9">
        <f t="shared" si="7"/>
        <v>15.5</v>
      </c>
      <c r="H8" s="12">
        <f t="shared" si="8"/>
        <v>-0.25</v>
      </c>
      <c r="I8" s="16">
        <f t="shared" si="4"/>
        <v>-2.4525000000000002E-2</v>
      </c>
      <c r="J8" s="12">
        <f t="shared" si="9"/>
        <v>214.839</v>
      </c>
      <c r="K8" s="12">
        <f t="shared" si="10"/>
        <v>102.49324469999999</v>
      </c>
      <c r="L8" s="12">
        <f t="shared" si="11"/>
        <v>1743.01261350903</v>
      </c>
      <c r="M8" s="9">
        <f t="shared" si="12"/>
        <v>2060.34485820903</v>
      </c>
      <c r="N8" s="9">
        <f t="shared" si="0"/>
        <v>31935.345302239966</v>
      </c>
      <c r="O8" s="9">
        <v>31935.345302239966</v>
      </c>
      <c r="P8" s="9">
        <f t="shared" si="1"/>
        <v>1621.7016776258351</v>
      </c>
      <c r="Q8" s="9">
        <v>1621.7016776258351</v>
      </c>
      <c r="R8" s="12">
        <f t="shared" si="5"/>
        <v>15967.672651119983</v>
      </c>
      <c r="S8" s="12">
        <f t="shared" si="2"/>
        <v>33557.046979865801</v>
      </c>
    </row>
    <row r="9" spans="2:19" x14ac:dyDescent="0.25">
      <c r="B9" s="9" t="s">
        <v>12</v>
      </c>
      <c r="C9" s="9">
        <v>29</v>
      </c>
      <c r="D9" s="12">
        <f t="shared" si="6"/>
        <v>411.5</v>
      </c>
      <c r="E9" s="12">
        <v>2</v>
      </c>
      <c r="F9" s="12">
        <f t="shared" si="3"/>
        <v>22.5</v>
      </c>
      <c r="G9" s="9">
        <f t="shared" si="7"/>
        <v>14.5</v>
      </c>
      <c r="H9" s="12">
        <f t="shared" si="8"/>
        <v>-0.5</v>
      </c>
      <c r="I9" s="16">
        <f t="shared" si="4"/>
        <v>-4.9050000000000003E-2</v>
      </c>
      <c r="J9" s="12">
        <f t="shared" si="9"/>
        <v>214.839</v>
      </c>
      <c r="K9" s="12">
        <f t="shared" si="10"/>
        <v>89.694920699999997</v>
      </c>
      <c r="L9" s="12">
        <f t="shared" si="11"/>
        <v>1743.01261350903</v>
      </c>
      <c r="M9" s="9">
        <f t="shared" si="12"/>
        <v>2047.5465342090299</v>
      </c>
      <c r="N9" s="9">
        <f t="shared" si="0"/>
        <v>29689.424746030934</v>
      </c>
      <c r="O9" s="9">
        <v>29689.424746030934</v>
      </c>
      <c r="P9" s="9">
        <f t="shared" si="1"/>
        <v>3867.6222338348671</v>
      </c>
      <c r="Q9" s="9">
        <v>3867.6222338348671</v>
      </c>
      <c r="R9" s="12">
        <f t="shared" si="5"/>
        <v>14844.712373015467</v>
      </c>
      <c r="S9" s="12">
        <f t="shared" si="2"/>
        <v>33557.046979865801</v>
      </c>
    </row>
    <row r="10" spans="2:19" x14ac:dyDescent="0.25">
      <c r="B10" s="9" t="s">
        <v>13</v>
      </c>
      <c r="C10" s="9">
        <v>32</v>
      </c>
      <c r="D10" s="12">
        <f t="shared" si="6"/>
        <v>443.5</v>
      </c>
      <c r="E10" s="12">
        <v>2</v>
      </c>
      <c r="F10" s="12">
        <f t="shared" si="3"/>
        <v>24.5</v>
      </c>
      <c r="G10" s="9">
        <f t="shared" si="7"/>
        <v>16</v>
      </c>
      <c r="H10" s="12">
        <f t="shared" si="8"/>
        <v>0.75</v>
      </c>
      <c r="I10" s="16">
        <f t="shared" si="4"/>
        <v>7.3575000000000002E-2</v>
      </c>
      <c r="J10" s="12">
        <f t="shared" si="9"/>
        <v>214.839</v>
      </c>
      <c r="K10" s="12">
        <f t="shared" si="10"/>
        <v>109.21236479999999</v>
      </c>
      <c r="L10" s="12">
        <f t="shared" si="11"/>
        <v>1743.01261350903</v>
      </c>
      <c r="M10" s="9">
        <f t="shared" si="12"/>
        <v>2067.0639783090301</v>
      </c>
      <c r="N10" s="9">
        <f t="shared" si="0"/>
        <v>33073.023652944481</v>
      </c>
      <c r="O10" s="9">
        <v>33073.023652944481</v>
      </c>
      <c r="P10" s="9">
        <f t="shared" si="1"/>
        <v>484.0233269213204</v>
      </c>
      <c r="Q10" s="9">
        <v>484.0233269213204</v>
      </c>
      <c r="R10" s="12">
        <f t="shared" si="5"/>
        <v>16536.511826472241</v>
      </c>
      <c r="S10" s="12">
        <f t="shared" si="2"/>
        <v>33557.046979865801</v>
      </c>
    </row>
    <row r="11" spans="2:19" x14ac:dyDescent="0.25">
      <c r="B11" s="9" t="s">
        <v>14</v>
      </c>
      <c r="C11" s="9">
        <v>35.5</v>
      </c>
      <c r="D11" s="12">
        <f t="shared" si="6"/>
        <v>479</v>
      </c>
      <c r="E11" s="12">
        <v>2.5</v>
      </c>
      <c r="F11" s="12">
        <f t="shared" si="3"/>
        <v>27</v>
      </c>
      <c r="G11" s="9">
        <f t="shared" si="7"/>
        <v>14.2</v>
      </c>
      <c r="H11" s="12">
        <f t="shared" si="8"/>
        <v>-0.72000000000000031</v>
      </c>
      <c r="I11" s="16">
        <f t="shared" si="4"/>
        <v>-7.0632000000000028E-2</v>
      </c>
      <c r="J11" s="12">
        <f t="shared" si="9"/>
        <v>214.839</v>
      </c>
      <c r="K11" s="12">
        <f t="shared" si="10"/>
        <v>86.021801711999984</v>
      </c>
      <c r="L11" s="12">
        <f t="shared" si="11"/>
        <v>1743.01261350903</v>
      </c>
      <c r="M11" s="9">
        <f t="shared" si="12"/>
        <v>2043.87341522103</v>
      </c>
      <c r="N11" s="9">
        <f t="shared" si="0"/>
        <v>29023.002496138623</v>
      </c>
      <c r="O11" s="9">
        <v>29023.002496138623</v>
      </c>
      <c r="P11" s="9">
        <f t="shared" si="1"/>
        <v>4534.0444837271789</v>
      </c>
      <c r="Q11" s="9">
        <v>4534.0444837271789</v>
      </c>
      <c r="R11" s="12">
        <f t="shared" si="5"/>
        <v>11609.20099845545</v>
      </c>
      <c r="S11" s="12">
        <f t="shared" si="2"/>
        <v>33557.046979865801</v>
      </c>
    </row>
    <row r="12" spans="2:19" x14ac:dyDescent="0.25">
      <c r="B12" s="9" t="s">
        <v>15</v>
      </c>
      <c r="C12" s="9">
        <v>44</v>
      </c>
      <c r="D12" s="12">
        <f t="shared" si="6"/>
        <v>523</v>
      </c>
      <c r="E12" s="12">
        <v>3</v>
      </c>
      <c r="F12" s="12">
        <f t="shared" si="3"/>
        <v>30</v>
      </c>
      <c r="G12" s="9">
        <f t="shared" si="7"/>
        <v>14.666666666666666</v>
      </c>
      <c r="H12" s="12">
        <f t="shared" si="8"/>
        <v>0.15555555555555559</v>
      </c>
      <c r="I12" s="16">
        <f t="shared" si="4"/>
        <v>1.5260000000000004E-2</v>
      </c>
      <c r="J12" s="12">
        <f t="shared" si="9"/>
        <v>214.839</v>
      </c>
      <c r="K12" s="12">
        <f t="shared" si="10"/>
        <v>91.768723199999982</v>
      </c>
      <c r="L12" s="12">
        <f t="shared" si="11"/>
        <v>1743.01261350903</v>
      </c>
      <c r="M12" s="9">
        <f t="shared" si="12"/>
        <v>2049.6203367090302</v>
      </c>
      <c r="N12" s="9">
        <f t="shared" si="0"/>
        <v>30061.09827173244</v>
      </c>
      <c r="O12" s="9">
        <v>30061.09827173244</v>
      </c>
      <c r="P12" s="9">
        <f t="shared" si="1"/>
        <v>3495.9487081333609</v>
      </c>
      <c r="Q12" s="9">
        <v>3495.9487081333609</v>
      </c>
      <c r="R12" s="12">
        <f t="shared" si="5"/>
        <v>10020.36609057748</v>
      </c>
      <c r="S12" s="12">
        <f t="shared" si="2"/>
        <v>33557.046979865801</v>
      </c>
    </row>
    <row r="13" spans="2:19" x14ac:dyDescent="0.25">
      <c r="B13" s="9" t="s">
        <v>16</v>
      </c>
      <c r="C13" s="9">
        <v>58</v>
      </c>
      <c r="D13" s="12">
        <f t="shared" si="6"/>
        <v>581</v>
      </c>
      <c r="E13" s="12">
        <v>4</v>
      </c>
      <c r="F13" s="12">
        <f t="shared" si="3"/>
        <v>34</v>
      </c>
      <c r="G13" s="9">
        <f t="shared" si="7"/>
        <v>14.5</v>
      </c>
      <c r="H13" s="12">
        <f t="shared" si="8"/>
        <v>-4.1666666666666519E-2</v>
      </c>
      <c r="I13" s="16">
        <f t="shared" si="4"/>
        <v>-4.0874999999999861E-3</v>
      </c>
      <c r="J13" s="12">
        <f t="shared" si="9"/>
        <v>214.839</v>
      </c>
      <c r="K13" s="12">
        <f t="shared" si="10"/>
        <v>89.694920699999997</v>
      </c>
      <c r="L13" s="12">
        <f t="shared" si="11"/>
        <v>1743.01261350903</v>
      </c>
      <c r="M13" s="9">
        <f t="shared" si="12"/>
        <v>2047.5465342090299</v>
      </c>
      <c r="N13" s="9">
        <f t="shared" si="0"/>
        <v>29689.424746030934</v>
      </c>
      <c r="O13" s="9">
        <v>29689.424746030934</v>
      </c>
      <c r="P13" s="9">
        <f t="shared" si="1"/>
        <v>3867.6222338348671</v>
      </c>
      <c r="Q13" s="9">
        <v>3867.6222338348671</v>
      </c>
      <c r="R13" s="12">
        <f t="shared" si="5"/>
        <v>7422.3561865077336</v>
      </c>
      <c r="S13" s="12">
        <f t="shared" si="2"/>
        <v>33557.046979865801</v>
      </c>
    </row>
    <row r="14" spans="2:19" x14ac:dyDescent="0.25">
      <c r="B14" s="9" t="s">
        <v>17</v>
      </c>
      <c r="C14" s="9">
        <v>40</v>
      </c>
      <c r="D14" s="12">
        <f t="shared" si="6"/>
        <v>621</v>
      </c>
      <c r="E14" s="12">
        <v>3</v>
      </c>
      <c r="F14" s="12">
        <f t="shared" si="3"/>
        <v>37</v>
      </c>
      <c r="G14" s="9">
        <f t="shared" si="7"/>
        <v>13.333333333333334</v>
      </c>
      <c r="H14" s="12">
        <f t="shared" si="8"/>
        <v>-0.38888888888888867</v>
      </c>
      <c r="I14" s="16">
        <f t="shared" si="4"/>
        <v>-3.8149999999999983E-2</v>
      </c>
      <c r="J14" s="12">
        <f t="shared" si="9"/>
        <v>214.839</v>
      </c>
      <c r="K14" s="12">
        <f t="shared" si="10"/>
        <v>75.841920000000002</v>
      </c>
      <c r="L14" s="12">
        <f t="shared" si="11"/>
        <v>1743.01261350903</v>
      </c>
      <c r="M14" s="9">
        <f t="shared" si="12"/>
        <v>2033.69353350903</v>
      </c>
      <c r="N14" s="9">
        <f t="shared" si="0"/>
        <v>27115.913780120401</v>
      </c>
      <c r="O14" s="9">
        <v>27115.913780120401</v>
      </c>
      <c r="P14" s="9">
        <f t="shared" si="1"/>
        <v>6441.1331997453999</v>
      </c>
      <c r="Q14" s="9">
        <v>6441.1331997453999</v>
      </c>
      <c r="R14" s="12">
        <f t="shared" si="5"/>
        <v>9038.6379267068005</v>
      </c>
      <c r="S14" s="12">
        <f t="shared" si="2"/>
        <v>33557.046979865801</v>
      </c>
    </row>
    <row r="15" spans="2:19" x14ac:dyDescent="0.25">
      <c r="B15" s="9" t="s">
        <v>18</v>
      </c>
      <c r="C15" s="9">
        <v>68</v>
      </c>
      <c r="D15" s="12">
        <f t="shared" si="6"/>
        <v>689</v>
      </c>
      <c r="E15" s="12">
        <v>4.5</v>
      </c>
      <c r="F15" s="12">
        <f t="shared" si="3"/>
        <v>41.5</v>
      </c>
      <c r="G15" s="9">
        <f t="shared" si="7"/>
        <v>15.111111111111111</v>
      </c>
      <c r="H15" s="12">
        <f t="shared" si="8"/>
        <v>0.39506172839506148</v>
      </c>
      <c r="I15" s="16">
        <f t="shared" si="4"/>
        <v>3.8755555555555536E-2</v>
      </c>
      <c r="J15" s="12">
        <f t="shared" si="9"/>
        <v>214.839</v>
      </c>
      <c r="K15" s="12">
        <f t="shared" si="10"/>
        <v>97.414732799999982</v>
      </c>
      <c r="L15" s="12">
        <f t="shared" si="11"/>
        <v>1743.01261350903</v>
      </c>
      <c r="M15" s="9">
        <f t="shared" si="12"/>
        <v>2055.2663463090298</v>
      </c>
      <c r="N15" s="9">
        <f t="shared" si="0"/>
        <v>31057.358122003116</v>
      </c>
      <c r="O15" s="9">
        <v>31057.358122003116</v>
      </c>
      <c r="P15" s="9">
        <f t="shared" si="1"/>
        <v>2499.6888578626858</v>
      </c>
      <c r="Q15" s="9">
        <v>2499.6888578626858</v>
      </c>
      <c r="R15" s="12">
        <f t="shared" si="5"/>
        <v>6901.635138222915</v>
      </c>
      <c r="S15" s="12">
        <f t="shared" si="2"/>
        <v>33557.046979865801</v>
      </c>
    </row>
    <row r="16" spans="2:19" x14ac:dyDescent="0.25">
      <c r="B16" s="9" t="s">
        <v>19</v>
      </c>
      <c r="C16" s="9">
        <v>31</v>
      </c>
      <c r="D16" s="12">
        <f t="shared" si="6"/>
        <v>720</v>
      </c>
      <c r="E16" s="12">
        <v>2</v>
      </c>
      <c r="F16" s="12">
        <f t="shared" si="3"/>
        <v>43.5</v>
      </c>
      <c r="G16" s="9">
        <f t="shared" si="7"/>
        <v>15.5</v>
      </c>
      <c r="H16" s="12">
        <f t="shared" si="8"/>
        <v>0.19444444444444464</v>
      </c>
      <c r="I16" s="16">
        <f t="shared" si="4"/>
        <v>1.9075000000000019E-2</v>
      </c>
      <c r="J16" s="12">
        <f t="shared" si="9"/>
        <v>214.839</v>
      </c>
      <c r="K16" s="12">
        <f t="shared" si="10"/>
        <v>102.49324469999999</v>
      </c>
      <c r="L16" s="12">
        <f t="shared" si="11"/>
        <v>1743.01261350903</v>
      </c>
      <c r="M16" s="9">
        <f t="shared" si="12"/>
        <v>2060.34485820903</v>
      </c>
      <c r="N16" s="9">
        <f t="shared" si="0"/>
        <v>31935.345302239966</v>
      </c>
      <c r="O16" s="9">
        <v>31935.345302239966</v>
      </c>
      <c r="P16" s="9">
        <f t="shared" si="1"/>
        <v>1621.7016776258351</v>
      </c>
      <c r="Q16" s="9">
        <v>1621.7016776258351</v>
      </c>
      <c r="R16" s="12">
        <f t="shared" si="5"/>
        <v>15967.672651119983</v>
      </c>
      <c r="S16" s="12">
        <f t="shared" si="2"/>
        <v>33557.046979865801</v>
      </c>
    </row>
    <row r="17" spans="2:19" x14ac:dyDescent="0.25">
      <c r="B17" s="9" t="s">
        <v>20</v>
      </c>
      <c r="C17" s="9">
        <v>20</v>
      </c>
      <c r="D17" s="12">
        <f t="shared" si="6"/>
        <v>740</v>
      </c>
      <c r="E17" s="12">
        <v>1.5</v>
      </c>
      <c r="F17" s="12">
        <f t="shared" si="3"/>
        <v>45</v>
      </c>
      <c r="G17" s="9">
        <f t="shared" si="7"/>
        <v>13.333333333333334</v>
      </c>
      <c r="H17" s="12">
        <f t="shared" si="8"/>
        <v>-1.444444444444444</v>
      </c>
      <c r="I17" s="16">
        <f t="shared" si="4"/>
        <v>-0.14169999999999996</v>
      </c>
      <c r="J17" s="12">
        <f t="shared" si="9"/>
        <v>214.839</v>
      </c>
      <c r="K17" s="12">
        <f t="shared" si="10"/>
        <v>75.841920000000002</v>
      </c>
      <c r="L17" s="12">
        <f t="shared" si="11"/>
        <v>1743.01261350903</v>
      </c>
      <c r="M17" s="9">
        <f t="shared" si="12"/>
        <v>2033.69353350903</v>
      </c>
      <c r="N17" s="9">
        <f t="shared" si="0"/>
        <v>27115.913780120401</v>
      </c>
      <c r="O17" s="9">
        <v>27115.913780120401</v>
      </c>
      <c r="P17" s="9">
        <f t="shared" si="1"/>
        <v>6441.1331997453999</v>
      </c>
      <c r="Q17" s="9">
        <v>6441.1331997453999</v>
      </c>
      <c r="R17" s="12">
        <f t="shared" si="5"/>
        <v>18077.275853413601</v>
      </c>
      <c r="S17" s="12">
        <f t="shared" si="2"/>
        <v>33557.046979865801</v>
      </c>
    </row>
    <row r="18" spans="2:19" x14ac:dyDescent="0.25">
      <c r="B18" s="9" t="s">
        <v>21</v>
      </c>
      <c r="C18" s="9">
        <v>80</v>
      </c>
      <c r="D18" s="12">
        <f t="shared" si="6"/>
        <v>820</v>
      </c>
      <c r="E18" s="12">
        <v>5</v>
      </c>
      <c r="F18" s="12">
        <f t="shared" si="3"/>
        <v>50</v>
      </c>
      <c r="G18" s="9">
        <f t="shared" si="7"/>
        <v>16</v>
      </c>
      <c r="H18" s="12">
        <f t="shared" si="8"/>
        <v>0.53333333333333321</v>
      </c>
      <c r="I18" s="16">
        <f t="shared" si="4"/>
        <v>5.2319999999999992E-2</v>
      </c>
      <c r="J18" s="12">
        <f t="shared" si="9"/>
        <v>214.839</v>
      </c>
      <c r="K18" s="12">
        <f t="shared" si="10"/>
        <v>109.21236479999999</v>
      </c>
      <c r="L18" s="12">
        <f t="shared" si="11"/>
        <v>-1743.01261350903</v>
      </c>
      <c r="M18" s="9">
        <f t="shared" si="12"/>
        <v>-1418.9612487090299</v>
      </c>
      <c r="N18" s="13">
        <f t="shared" si="0"/>
        <v>-22703.379979344478</v>
      </c>
      <c r="O18" s="13">
        <v>22703.3799793445</v>
      </c>
      <c r="P18" s="13">
        <f t="shared" si="1"/>
        <v>56260.426959210279</v>
      </c>
      <c r="Q18" s="9">
        <v>33557.046979865801</v>
      </c>
      <c r="R18" s="13">
        <f t="shared" si="5"/>
        <v>-4540.6759958688954</v>
      </c>
      <c r="S18" s="12">
        <f t="shared" si="2"/>
        <v>33557.046979865801</v>
      </c>
    </row>
    <row r="19" spans="2:19" x14ac:dyDescent="0.25">
      <c r="B19" s="9" t="s">
        <v>22</v>
      </c>
      <c r="C19" s="9">
        <v>180</v>
      </c>
      <c r="D19" s="12">
        <f t="shared" si="6"/>
        <v>1000</v>
      </c>
      <c r="E19" s="12">
        <v>7</v>
      </c>
      <c r="F19" s="12">
        <f t="shared" si="3"/>
        <v>57</v>
      </c>
      <c r="G19" s="9">
        <f t="shared" si="7"/>
        <v>25.714285714285715</v>
      </c>
      <c r="H19" s="12">
        <f t="shared" si="8"/>
        <v>1.3877551020408165</v>
      </c>
      <c r="I19" s="16">
        <f t="shared" si="4"/>
        <v>0.13613877551020412</v>
      </c>
      <c r="J19" s="12">
        <f t="shared" si="9"/>
        <v>214.839</v>
      </c>
      <c r="K19" s="12">
        <f t="shared" si="10"/>
        <v>282.08550857142859</v>
      </c>
      <c r="L19" s="12">
        <f t="shared" si="11"/>
        <v>-1743.01261350903</v>
      </c>
      <c r="M19" s="9">
        <f t="shared" si="12"/>
        <v>-1246.0881049376014</v>
      </c>
      <c r="N19" s="13">
        <f t="shared" si="0"/>
        <v>-32042.265555538324</v>
      </c>
      <c r="O19" s="13">
        <v>32042.265555538299</v>
      </c>
      <c r="P19" s="13">
        <f t="shared" si="1"/>
        <v>65599.312535404126</v>
      </c>
      <c r="Q19" s="9">
        <v>33557.046979865801</v>
      </c>
      <c r="R19" s="13">
        <f t="shared" si="5"/>
        <v>-4577.4665079340466</v>
      </c>
      <c r="S19" s="12">
        <f t="shared" si="2"/>
        <v>33557.046979865801</v>
      </c>
    </row>
    <row r="20" spans="2:19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9">
        <f>MAX(N3:N19)</f>
        <v>33073.023652944481</v>
      </c>
      <c r="O20" s="15"/>
      <c r="P20" s="15"/>
      <c r="Q20" s="15"/>
    </row>
    <row r="23" spans="2:19" x14ac:dyDescent="0.25">
      <c r="O23" s="21"/>
    </row>
    <row r="24" spans="2:19" x14ac:dyDescent="0.25">
      <c r="B24" s="7" t="s">
        <v>0</v>
      </c>
      <c r="C24" s="7" t="s">
        <v>4</v>
      </c>
      <c r="F24" s="54" t="s">
        <v>90</v>
      </c>
      <c r="G24" s="54"/>
      <c r="H24" s="54"/>
      <c r="I24" s="54"/>
      <c r="J24" s="54"/>
      <c r="K24" s="54"/>
      <c r="L24" s="54"/>
      <c r="M24" s="54"/>
      <c r="N24" s="54"/>
      <c r="O24" s="19"/>
    </row>
    <row r="25" spans="2:19" x14ac:dyDescent="0.25">
      <c r="B25" s="6" t="s">
        <v>1</v>
      </c>
      <c r="C25" s="6" t="s">
        <v>42</v>
      </c>
      <c r="F25" s="1" t="s">
        <v>83</v>
      </c>
      <c r="G25" s="1" t="s">
        <v>85</v>
      </c>
      <c r="H25" s="1" t="s">
        <v>84</v>
      </c>
      <c r="I25" s="1" t="s">
        <v>86</v>
      </c>
      <c r="J25" s="1" t="s">
        <v>95</v>
      </c>
      <c r="K25" s="1" t="s">
        <v>94</v>
      </c>
      <c r="L25" s="1" t="s">
        <v>87</v>
      </c>
      <c r="M25" s="1" t="s">
        <v>88</v>
      </c>
      <c r="N25" s="1" t="s">
        <v>89</v>
      </c>
      <c r="O25" s="19"/>
    </row>
    <row r="26" spans="2:19" x14ac:dyDescent="0.25">
      <c r="B26" s="6" t="s">
        <v>74</v>
      </c>
      <c r="C26" s="6">
        <v>365</v>
      </c>
      <c r="F26" s="4" t="s">
        <v>81</v>
      </c>
      <c r="G26" s="4">
        <v>0</v>
      </c>
      <c r="H26" s="4">
        <f>G26</f>
        <v>0</v>
      </c>
      <c r="I26" s="4">
        <v>0</v>
      </c>
      <c r="J26" s="4">
        <v>0</v>
      </c>
      <c r="K26" s="4">
        <v>0</v>
      </c>
      <c r="L26" s="4">
        <v>0</v>
      </c>
      <c r="M26" s="4">
        <v>1.2</v>
      </c>
      <c r="N26" s="4">
        <v>9.81</v>
      </c>
      <c r="O26" s="20"/>
    </row>
    <row r="27" spans="2:19" x14ac:dyDescent="0.25">
      <c r="B27" s="6" t="s">
        <v>76</v>
      </c>
      <c r="C27" s="6">
        <f>(C43*C42*0.7)/1000000</f>
        <v>1.8710999999999998</v>
      </c>
      <c r="F27" s="3" t="s">
        <v>7</v>
      </c>
      <c r="G27" s="3">
        <v>-10</v>
      </c>
      <c r="H27" s="4">
        <f t="shared" ref="H27:H42" si="13">G27+H26</f>
        <v>-10</v>
      </c>
      <c r="I27" s="3">
        <v>-3.65</v>
      </c>
      <c r="J27" s="3">
        <v>150</v>
      </c>
      <c r="K27" s="3">
        <f>(J27)</f>
        <v>150</v>
      </c>
      <c r="L27" s="3">
        <v>0.06</v>
      </c>
      <c r="M27" s="4">
        <v>1.2</v>
      </c>
      <c r="N27" s="3">
        <v>9.81</v>
      </c>
      <c r="O27" s="15"/>
    </row>
    <row r="28" spans="2:19" x14ac:dyDescent="0.25">
      <c r="B28" s="6" t="s">
        <v>3</v>
      </c>
      <c r="C28" s="6" t="s">
        <v>41</v>
      </c>
      <c r="F28" s="5" t="s">
        <v>8</v>
      </c>
      <c r="G28" s="3">
        <v>-6</v>
      </c>
      <c r="H28" s="4">
        <f t="shared" si="13"/>
        <v>-16</v>
      </c>
      <c r="I28" s="3">
        <v>-3.65</v>
      </c>
      <c r="J28" s="3">
        <v>68</v>
      </c>
      <c r="K28" s="3">
        <f>(K27+J28)</f>
        <v>218</v>
      </c>
      <c r="L28" s="3">
        <v>0.06</v>
      </c>
      <c r="M28" s="4">
        <v>1.2</v>
      </c>
      <c r="N28" s="3">
        <v>9.81</v>
      </c>
      <c r="O28" s="15"/>
    </row>
    <row r="29" spans="2:19" x14ac:dyDescent="0.25">
      <c r="B29" s="6" t="s">
        <v>65</v>
      </c>
      <c r="C29" s="6">
        <f>0.635*3.1415926</f>
        <v>1.9949113010000001</v>
      </c>
      <c r="F29" s="3" t="s">
        <v>9</v>
      </c>
      <c r="G29" s="3">
        <v>2.5</v>
      </c>
      <c r="H29" s="4">
        <f t="shared" si="13"/>
        <v>-13.5</v>
      </c>
      <c r="I29" s="3">
        <v>3.65</v>
      </c>
      <c r="J29" s="3">
        <v>53.5</v>
      </c>
      <c r="K29" s="3">
        <f t="shared" ref="K29:K42" si="14">(K28+J29)</f>
        <v>271.5</v>
      </c>
      <c r="L29" s="3">
        <v>0.06</v>
      </c>
      <c r="M29" s="4">
        <v>1.2</v>
      </c>
      <c r="N29" s="3">
        <v>9.81</v>
      </c>
      <c r="O29" s="15"/>
    </row>
    <row r="30" spans="2:19" x14ac:dyDescent="0.25">
      <c r="B30" s="6" t="s">
        <v>66</v>
      </c>
      <c r="C30" s="6">
        <f>0.635*3.1415926</f>
        <v>1.9949113010000001</v>
      </c>
      <c r="F30" s="3" t="s">
        <v>10</v>
      </c>
      <c r="G30" s="3">
        <v>5.5</v>
      </c>
      <c r="H30" s="4">
        <f t="shared" si="13"/>
        <v>-8</v>
      </c>
      <c r="I30" s="3">
        <v>3.65</v>
      </c>
      <c r="J30" s="3">
        <v>80</v>
      </c>
      <c r="K30" s="3">
        <f t="shared" si="14"/>
        <v>351.5</v>
      </c>
      <c r="L30" s="3">
        <v>0.06</v>
      </c>
      <c r="M30" s="4">
        <v>1.2</v>
      </c>
      <c r="N30" s="3">
        <v>9.81</v>
      </c>
      <c r="O30" s="15"/>
    </row>
    <row r="31" spans="2:19" x14ac:dyDescent="0.25">
      <c r="B31" s="6" t="s">
        <v>68</v>
      </c>
      <c r="C31" s="6">
        <v>9</v>
      </c>
      <c r="F31" s="3" t="s">
        <v>11</v>
      </c>
      <c r="G31" s="3">
        <v>2.5</v>
      </c>
      <c r="H31" s="4">
        <f t="shared" si="13"/>
        <v>-5.5</v>
      </c>
      <c r="I31" s="3">
        <v>3.65</v>
      </c>
      <c r="J31" s="3">
        <v>31</v>
      </c>
      <c r="K31" s="3">
        <f t="shared" si="14"/>
        <v>382.5</v>
      </c>
      <c r="L31" s="3">
        <v>0.06</v>
      </c>
      <c r="M31" s="4">
        <v>1.2</v>
      </c>
      <c r="N31" s="3">
        <v>9.81</v>
      </c>
      <c r="O31" s="15"/>
    </row>
    <row r="32" spans="2:19" x14ac:dyDescent="0.25">
      <c r="B32" s="6" t="s">
        <v>63</v>
      </c>
      <c r="C32" s="6">
        <v>12</v>
      </c>
      <c r="F32" s="3" t="s">
        <v>12</v>
      </c>
      <c r="G32" s="3">
        <v>2</v>
      </c>
      <c r="H32" s="4">
        <f t="shared" si="13"/>
        <v>-3.5</v>
      </c>
      <c r="I32" s="3">
        <v>3.65</v>
      </c>
      <c r="J32" s="3">
        <v>29</v>
      </c>
      <c r="K32" s="3">
        <f t="shared" si="14"/>
        <v>411.5</v>
      </c>
      <c r="L32" s="3">
        <v>0.06</v>
      </c>
      <c r="M32" s="4">
        <v>1.2</v>
      </c>
      <c r="N32" s="3">
        <v>9.81</v>
      </c>
      <c r="O32" s="15"/>
    </row>
    <row r="33" spans="2:15" x14ac:dyDescent="0.25">
      <c r="B33" s="6" t="s">
        <v>64</v>
      </c>
      <c r="C33" s="6">
        <v>10</v>
      </c>
      <c r="F33" s="3" t="s">
        <v>13</v>
      </c>
      <c r="G33" s="3">
        <v>2.5</v>
      </c>
      <c r="H33" s="4">
        <f t="shared" si="13"/>
        <v>-1</v>
      </c>
      <c r="I33" s="3">
        <v>3.65</v>
      </c>
      <c r="J33" s="3">
        <v>32</v>
      </c>
      <c r="K33" s="3">
        <f t="shared" si="14"/>
        <v>443.5</v>
      </c>
      <c r="L33" s="3">
        <v>0.06</v>
      </c>
      <c r="M33" s="4">
        <v>1.2</v>
      </c>
      <c r="N33" s="3">
        <v>9.81</v>
      </c>
      <c r="O33" s="15"/>
    </row>
    <row r="34" spans="2:15" x14ac:dyDescent="0.25">
      <c r="B34" s="6" t="s">
        <v>39</v>
      </c>
      <c r="C34" s="6">
        <v>6</v>
      </c>
      <c r="F34" s="3" t="s">
        <v>14</v>
      </c>
      <c r="G34" s="3">
        <v>2</v>
      </c>
      <c r="H34" s="4">
        <f t="shared" si="13"/>
        <v>1</v>
      </c>
      <c r="I34" s="3">
        <v>3.65</v>
      </c>
      <c r="J34" s="3">
        <v>35.5</v>
      </c>
      <c r="K34" s="3">
        <f t="shared" si="14"/>
        <v>479</v>
      </c>
      <c r="L34" s="3">
        <v>0.06</v>
      </c>
      <c r="M34" s="4">
        <v>1.2</v>
      </c>
      <c r="N34" s="3">
        <v>9.81</v>
      </c>
      <c r="O34" s="15"/>
    </row>
    <row r="35" spans="2:15" x14ac:dyDescent="0.25">
      <c r="B35" s="6" t="s">
        <v>40</v>
      </c>
      <c r="C35" s="6" t="s">
        <v>45</v>
      </c>
      <c r="F35" s="3" t="s">
        <v>15</v>
      </c>
      <c r="G35" s="3">
        <v>2</v>
      </c>
      <c r="H35" s="4">
        <f t="shared" si="13"/>
        <v>3</v>
      </c>
      <c r="I35" s="3">
        <v>3.65</v>
      </c>
      <c r="J35" s="3">
        <v>44</v>
      </c>
      <c r="K35" s="3">
        <f t="shared" si="14"/>
        <v>523</v>
      </c>
      <c r="L35" s="3">
        <v>0.06</v>
      </c>
      <c r="M35" s="4">
        <v>1.2</v>
      </c>
      <c r="N35" s="3">
        <v>9.81</v>
      </c>
      <c r="O35" s="15"/>
    </row>
    <row r="36" spans="2:15" x14ac:dyDescent="0.25">
      <c r="B36" s="6" t="s">
        <v>43</v>
      </c>
      <c r="C36" s="6" t="s">
        <v>44</v>
      </c>
      <c r="F36" s="3" t="s">
        <v>16</v>
      </c>
      <c r="G36" s="3">
        <v>2.5</v>
      </c>
      <c r="H36" s="4">
        <f t="shared" si="13"/>
        <v>5.5</v>
      </c>
      <c r="I36" s="3">
        <v>3.65</v>
      </c>
      <c r="J36" s="3">
        <v>58</v>
      </c>
      <c r="K36" s="3">
        <f t="shared" si="14"/>
        <v>581</v>
      </c>
      <c r="L36" s="3">
        <v>0.06</v>
      </c>
      <c r="M36" s="4">
        <v>1.2</v>
      </c>
      <c r="N36" s="3">
        <v>9.81</v>
      </c>
      <c r="O36" s="15"/>
    </row>
    <row r="37" spans="2:15" x14ac:dyDescent="0.25">
      <c r="B37" s="6" t="s">
        <v>46</v>
      </c>
      <c r="C37" s="6" t="s">
        <v>47</v>
      </c>
      <c r="F37" s="3" t="s">
        <v>17</v>
      </c>
      <c r="G37" s="3">
        <v>1.5</v>
      </c>
      <c r="H37" s="4">
        <f t="shared" si="13"/>
        <v>7</v>
      </c>
      <c r="I37" s="3">
        <v>3.65</v>
      </c>
      <c r="J37" s="3">
        <v>40</v>
      </c>
      <c r="K37" s="3">
        <f t="shared" si="14"/>
        <v>621</v>
      </c>
      <c r="L37" s="3">
        <v>0.06</v>
      </c>
      <c r="M37" s="4">
        <v>1.2</v>
      </c>
      <c r="N37" s="3">
        <v>9.81</v>
      </c>
      <c r="O37" s="15"/>
    </row>
    <row r="38" spans="2:15" x14ac:dyDescent="0.25">
      <c r="B38" s="6" t="s">
        <v>48</v>
      </c>
      <c r="C38" s="6" t="s">
        <v>49</v>
      </c>
      <c r="F38" s="3" t="s">
        <v>18</v>
      </c>
      <c r="G38" s="3">
        <v>2</v>
      </c>
      <c r="H38" s="4">
        <f t="shared" si="13"/>
        <v>9</v>
      </c>
      <c r="I38" s="3">
        <v>3.65</v>
      </c>
      <c r="J38" s="3">
        <v>68</v>
      </c>
      <c r="K38" s="3">
        <f t="shared" si="14"/>
        <v>689</v>
      </c>
      <c r="L38" s="3">
        <v>0.06</v>
      </c>
      <c r="M38" s="4">
        <v>1.2</v>
      </c>
      <c r="N38" s="3">
        <v>9.81</v>
      </c>
      <c r="O38" s="15"/>
    </row>
    <row r="39" spans="2:15" x14ac:dyDescent="0.25">
      <c r="B39" s="6" t="s">
        <v>50</v>
      </c>
      <c r="C39" s="6" t="s">
        <v>51</v>
      </c>
      <c r="F39" s="3" t="s">
        <v>19</v>
      </c>
      <c r="G39" s="3">
        <v>3</v>
      </c>
      <c r="H39" s="4">
        <f t="shared" si="13"/>
        <v>12</v>
      </c>
      <c r="I39" s="3">
        <v>3.65</v>
      </c>
      <c r="J39" s="3">
        <v>31</v>
      </c>
      <c r="K39" s="3">
        <f t="shared" si="14"/>
        <v>720</v>
      </c>
      <c r="L39" s="3">
        <v>0.06</v>
      </c>
      <c r="M39" s="4">
        <v>1.2</v>
      </c>
      <c r="N39" s="3">
        <v>9.81</v>
      </c>
      <c r="O39" s="15"/>
    </row>
    <row r="40" spans="2:15" x14ac:dyDescent="0.25">
      <c r="B40" s="6" t="s">
        <v>52</v>
      </c>
      <c r="C40" s="6" t="s">
        <v>53</v>
      </c>
      <c r="F40" s="3" t="s">
        <v>20</v>
      </c>
      <c r="G40" s="3">
        <v>2</v>
      </c>
      <c r="H40" s="4">
        <f t="shared" si="13"/>
        <v>14</v>
      </c>
      <c r="I40" s="3">
        <v>3.65</v>
      </c>
      <c r="J40" s="3">
        <v>20</v>
      </c>
      <c r="K40" s="3">
        <f t="shared" si="14"/>
        <v>740</v>
      </c>
      <c r="L40" s="3">
        <v>0.06</v>
      </c>
      <c r="M40" s="4">
        <v>1.2</v>
      </c>
      <c r="N40" s="3">
        <v>9.81</v>
      </c>
      <c r="O40" s="15"/>
    </row>
    <row r="41" spans="2:15" x14ac:dyDescent="0.25">
      <c r="B41" s="6" t="s">
        <v>60</v>
      </c>
      <c r="C41" s="6">
        <v>2620</v>
      </c>
      <c r="F41" s="3" t="s">
        <v>21</v>
      </c>
      <c r="G41" s="3">
        <v>-2</v>
      </c>
      <c r="H41" s="4">
        <f t="shared" si="13"/>
        <v>12</v>
      </c>
      <c r="I41" s="3">
        <v>-3.65</v>
      </c>
      <c r="J41" s="3">
        <v>80</v>
      </c>
      <c r="K41" s="3">
        <f t="shared" si="14"/>
        <v>820</v>
      </c>
      <c r="L41" s="3">
        <v>0.06</v>
      </c>
      <c r="M41" s="4">
        <v>1.2</v>
      </c>
      <c r="N41" s="3">
        <v>9.81</v>
      </c>
      <c r="O41" s="15"/>
    </row>
    <row r="42" spans="2:15" x14ac:dyDescent="0.25">
      <c r="B42" s="6" t="s">
        <v>59</v>
      </c>
      <c r="C42" s="6">
        <v>1650</v>
      </c>
      <c r="F42" s="3" t="s">
        <v>22</v>
      </c>
      <c r="G42" s="3">
        <v>-12</v>
      </c>
      <c r="H42" s="4">
        <f t="shared" si="13"/>
        <v>0</v>
      </c>
      <c r="I42" s="3">
        <v>-3.65</v>
      </c>
      <c r="J42" s="3">
        <v>180</v>
      </c>
      <c r="K42" s="3">
        <f t="shared" si="14"/>
        <v>1000</v>
      </c>
      <c r="L42" s="3">
        <v>0.06</v>
      </c>
      <c r="M42" s="4">
        <v>1.2</v>
      </c>
      <c r="N42" s="3">
        <v>9.81</v>
      </c>
      <c r="O42" s="15"/>
    </row>
    <row r="43" spans="2:15" x14ac:dyDescent="0.25">
      <c r="B43" s="6" t="s">
        <v>61</v>
      </c>
      <c r="C43" s="6">
        <v>1620</v>
      </c>
      <c r="G43" s="4">
        <f>F43</f>
        <v>0</v>
      </c>
      <c r="O43" s="21"/>
    </row>
    <row r="44" spans="2:15" x14ac:dyDescent="0.25">
      <c r="B44" s="6" t="s">
        <v>55</v>
      </c>
      <c r="C44" s="6" t="s">
        <v>67</v>
      </c>
      <c r="D44" s="6">
        <v>63.5</v>
      </c>
    </row>
    <row r="45" spans="2:15" x14ac:dyDescent="0.25">
      <c r="B45" s="6" t="s">
        <v>56</v>
      </c>
      <c r="C45" s="6" t="s">
        <v>57</v>
      </c>
      <c r="D45" s="6">
        <v>63.5</v>
      </c>
    </row>
    <row r="46" spans="2:15" x14ac:dyDescent="0.25">
      <c r="B46" s="6" t="s">
        <v>58</v>
      </c>
      <c r="C46" s="6">
        <f>45/1.341</f>
        <v>33.557046979865774</v>
      </c>
    </row>
    <row r="47" spans="2:15" x14ac:dyDescent="0.25">
      <c r="B47" s="6" t="s">
        <v>102</v>
      </c>
      <c r="C47" s="6">
        <v>0.38</v>
      </c>
    </row>
  </sheetData>
  <mergeCells count="2">
    <mergeCell ref="F24:N24"/>
    <mergeCell ref="B1: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7" zoomScale="60" zoomScaleNormal="60" workbookViewId="0">
      <selection activeCell="R72" sqref="R71:R7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new sheet for assignment 2</vt:lpstr>
      <vt:lpstr>ignore</vt:lpstr>
      <vt:lpstr>.ignore</vt:lpstr>
      <vt:lpstr>.ignore.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Gordon (P150782)</dc:creator>
  <cp:lastModifiedBy>Oliver Gordon (P150782)</cp:lastModifiedBy>
  <dcterms:created xsi:type="dcterms:W3CDTF">2019-11-19T17:36:57Z</dcterms:created>
  <dcterms:modified xsi:type="dcterms:W3CDTF">2020-03-15T20:28:49Z</dcterms:modified>
</cp:coreProperties>
</file>