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adamson\Desktop\UNIVERSITY WORK\UNI LEVEL 6\DES ECO\"/>
    </mc:Choice>
  </mc:AlternateContent>
  <bookViews>
    <workbookView xWindow="0" yWindow="0" windowWidth="23040" windowHeight="9192" tabRatio="842"/>
  </bookViews>
  <sheets>
    <sheet name="Cover" sheetId="4" r:id="rId1"/>
    <sheet name="Summary" sheetId="2" r:id="rId2"/>
    <sheet name="Allowances &amp; Assumptions" sheetId="3" r:id="rId3"/>
    <sheet name="Document Register" sheetId="5" r:id="rId4"/>
    <sheet name="5. Excavate &amp; fill" sheetId="6" r:id="rId5"/>
    <sheet name="7. Piling" sheetId="7" r:id="rId6"/>
    <sheet name="11. In-situ concrete" sheetId="8" r:id="rId7"/>
    <sheet name="14. Masonry" sheetId="15" r:id="rId8"/>
    <sheet name="28. Floor finishes" sheetId="19" r:id="rId9"/>
    <sheet name="33. Drainage above ground" sheetId="20" r:id="rId10"/>
    <sheet name="34. Drainage below ground" sheetId="10" r:id="rId11"/>
    <sheet name="35. Site works" sheetId="13" r:id="rId12"/>
    <sheet name="Take-off Quantities" sheetId="14" r:id="rId13"/>
    <sheet name="Index Factors" sheetId="12" r:id="rId14"/>
    <sheet name="BCIS Indices" sheetId="18" r:id="rId15"/>
  </sheets>
  <definedNames>
    <definedName name="_xlnm.Print_Area" localSheetId="8">'28. Floor finishes'!$A$1:$M$21</definedName>
    <definedName name="_xlnm.Print_Area" localSheetId="9">'33. Drainage above ground'!$A$1:$M$36</definedName>
    <definedName name="_xlnm.Print_Area" localSheetId="10">'34. Drainage below ground'!$A$1:$M$49</definedName>
    <definedName name="_xlnm.Print_Area" localSheetId="5">'7. Piling'!$A$1:$M$94</definedName>
    <definedName name="_xlnm.Print_Area" localSheetId="0">Cover!$A$1:$G$30</definedName>
    <definedName name="_xlnm.Print_Area" localSheetId="3">'Document Register'!$A$1:$G$19</definedName>
    <definedName name="_xlnm.Print_Area" localSheetId="13">'Index Factors'!$A$1:$J$26</definedName>
    <definedName name="_xlnm.Print_Area" localSheetId="1">Summary!$A$1:$I$16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1" i="8" l="1"/>
  <c r="J76" i="8"/>
  <c r="L76" i="8" s="1"/>
  <c r="J71" i="8"/>
  <c r="L71" i="8" s="1"/>
  <c r="J66" i="8"/>
  <c r="L66" i="8" s="1"/>
  <c r="L48" i="14"/>
  <c r="L38" i="14"/>
  <c r="L36" i="14"/>
  <c r="L40" i="14" s="1"/>
  <c r="L24" i="14"/>
  <c r="M26" i="14" s="1"/>
  <c r="J81" i="7"/>
  <c r="L81" i="7" s="1"/>
  <c r="M23" i="14"/>
  <c r="M20" i="14"/>
  <c r="F12" i="2"/>
  <c r="F11" i="2"/>
  <c r="F10" i="2"/>
  <c r="E12" i="2"/>
  <c r="E11" i="2"/>
  <c r="E10" i="2"/>
  <c r="E9" i="2"/>
  <c r="E8" i="2"/>
  <c r="C13" i="2"/>
  <c r="B11" i="2"/>
  <c r="B12" i="2"/>
  <c r="L19" i="20"/>
  <c r="L20" i="19"/>
  <c r="C11" i="2" s="1"/>
  <c r="H8" i="12"/>
  <c r="E13" i="12"/>
  <c r="E9" i="12"/>
  <c r="E12" i="12"/>
  <c r="M27" i="14" l="1"/>
  <c r="J89" i="7" s="1"/>
  <c r="L89" i="7" s="1"/>
  <c r="G11" i="2"/>
  <c r="F14" i="2"/>
  <c r="F13" i="2"/>
  <c r="F9" i="2"/>
  <c r="F8" i="2"/>
  <c r="F7" i="2"/>
  <c r="Z19" i="14"/>
  <c r="T49" i="14"/>
  <c r="W49" i="14"/>
  <c r="J86" i="8"/>
  <c r="L86" i="8" s="1"/>
  <c r="L13" i="14"/>
  <c r="J82" i="8" s="1"/>
  <c r="J90" i="8" s="1"/>
  <c r="L90" i="8" s="1"/>
  <c r="J85" i="7" l="1"/>
  <c r="L85" i="7" s="1"/>
  <c r="L82" i="8"/>
  <c r="E14" i="2"/>
  <c r="E13" i="2"/>
  <c r="E7" i="2"/>
  <c r="L16" i="10" l="1"/>
  <c r="L17" i="10"/>
  <c r="L18" i="10"/>
  <c r="L19" i="10"/>
  <c r="L20" i="10"/>
  <c r="L28" i="10"/>
  <c r="L29" i="10"/>
  <c r="L30" i="10"/>
  <c r="L31" i="10"/>
  <c r="L32" i="10"/>
  <c r="L43" i="10"/>
  <c r="B10" i="2"/>
  <c r="J59" i="8"/>
  <c r="L59" i="8" s="1"/>
  <c r="J54" i="8"/>
  <c r="J46" i="8"/>
  <c r="L46" i="8" s="1"/>
  <c r="J50" i="8" l="1"/>
  <c r="L50" i="8" s="1"/>
  <c r="L54" i="8"/>
  <c r="B14" i="2"/>
  <c r="B13" i="2"/>
  <c r="B9" i="2"/>
  <c r="B8" i="2"/>
  <c r="B7" i="2"/>
  <c r="L57" i="14"/>
  <c r="P57" i="14" s="1"/>
  <c r="L45" i="6"/>
  <c r="L39" i="7"/>
  <c r="J69" i="7"/>
  <c r="L69" i="7" s="1"/>
  <c r="J57" i="7"/>
  <c r="L57" i="7" s="1"/>
  <c r="J45" i="7"/>
  <c r="L45" i="7" s="1"/>
  <c r="J77" i="7"/>
  <c r="L77" i="7" s="1"/>
  <c r="J73" i="7"/>
  <c r="L73" i="7" s="1"/>
  <c r="J65" i="7"/>
  <c r="L65" i="7" s="1"/>
  <c r="J61" i="7"/>
  <c r="L61" i="7" s="1"/>
  <c r="J53" i="7"/>
  <c r="L53" i="7" s="1"/>
  <c r="J49" i="7"/>
  <c r="L49" i="7" s="1"/>
  <c r="V17" i="3"/>
  <c r="I16" i="14"/>
  <c r="I27" i="14"/>
  <c r="I37" i="14"/>
  <c r="I47" i="14"/>
  <c r="D43" i="14"/>
  <c r="D30" i="14"/>
  <c r="D23" i="14"/>
  <c r="D11" i="14"/>
  <c r="J13" i="19" l="1"/>
  <c r="I5" i="14"/>
  <c r="L6" i="14"/>
  <c r="J97" i="8" s="1"/>
  <c r="L97" i="8" s="1"/>
  <c r="E5" i="14"/>
  <c r="L9" i="14"/>
  <c r="L7" i="14"/>
  <c r="J22" i="13" l="1"/>
  <c r="L22" i="13" s="1"/>
  <c r="J21" i="13"/>
  <c r="L21" i="13" s="1"/>
  <c r="J33" i="13"/>
  <c r="L33" i="13" s="1"/>
  <c r="J15" i="15"/>
  <c r="J12" i="13"/>
  <c r="L12" i="13" s="1"/>
  <c r="J17" i="13"/>
  <c r="L17" i="13" s="1"/>
  <c r="J43" i="6"/>
  <c r="L43" i="6" s="1"/>
  <c r="J108" i="8"/>
  <c r="J38" i="8"/>
  <c r="L38" i="8" s="1"/>
  <c r="J31" i="20"/>
  <c r="L31" i="20" s="1"/>
  <c r="L35" i="20" s="1"/>
  <c r="C12" i="2" s="1"/>
  <c r="G12" i="2" s="1"/>
  <c r="I6" i="14"/>
  <c r="J32" i="8" s="1"/>
  <c r="L32" i="8" s="1"/>
  <c r="J16" i="19"/>
  <c r="L15" i="15"/>
  <c r="J20" i="15"/>
  <c r="L20" i="15" s="1"/>
  <c r="J44" i="6"/>
  <c r="L44" i="6" s="1"/>
  <c r="J38" i="6"/>
  <c r="L38" i="6" s="1"/>
  <c r="J30" i="6"/>
  <c r="L30" i="6" s="1"/>
  <c r="J105" i="8"/>
  <c r="L105" i="8" s="1"/>
  <c r="J13" i="6"/>
  <c r="J21" i="6" s="1"/>
  <c r="L21" i="6" s="1"/>
  <c r="J14" i="8"/>
  <c r="L14" i="8" s="1"/>
  <c r="J101" i="8"/>
  <c r="L101" i="8" s="1"/>
  <c r="C4" i="2"/>
  <c r="L43" i="13"/>
  <c r="C14" i="2" s="1"/>
  <c r="L42" i="10"/>
  <c r="L48" i="10" s="1"/>
  <c r="H12" i="2" l="1"/>
  <c r="H11" i="2"/>
  <c r="L24" i="15"/>
  <c r="C10" i="2" s="1"/>
  <c r="G10" i="2" s="1"/>
  <c r="H10" i="2" s="1"/>
  <c r="J19" i="6"/>
  <c r="L19" i="6" s="1"/>
  <c r="J18" i="8"/>
  <c r="L13" i="6"/>
  <c r="L108" i="8"/>
  <c r="L28" i="8"/>
  <c r="L49" i="6" l="1"/>
  <c r="C7" i="2" s="1"/>
  <c r="G7" i="2" s="1"/>
  <c r="H7" i="2" s="1"/>
  <c r="H17" i="12"/>
  <c r="G14" i="2"/>
  <c r="H14" i="2" s="1"/>
  <c r="L18" i="8" l="1"/>
  <c r="C9" i="2" l="1"/>
  <c r="G9" i="2" s="1"/>
  <c r="H9" i="2" s="1"/>
  <c r="G13" i="2"/>
  <c r="H13" i="2" s="1"/>
  <c r="J14" i="7" l="1"/>
  <c r="J15" i="7" s="1"/>
  <c r="J17" i="7" s="1"/>
  <c r="J19" i="7" s="1"/>
  <c r="L19" i="7" s="1"/>
  <c r="L25" i="7"/>
  <c r="L26" i="7"/>
  <c r="L24" i="7"/>
  <c r="L14" i="7" l="1"/>
  <c r="L17" i="7"/>
  <c r="L15" i="7"/>
  <c r="L93" i="7" l="1"/>
  <c r="C8" i="2" s="1"/>
  <c r="G8" i="2" s="1"/>
  <c r="G15" i="2" l="1"/>
  <c r="H8" i="2"/>
  <c r="H15" i="2" s="1"/>
  <c r="C15" i="2"/>
  <c r="D12" i="2" l="1"/>
  <c r="D11" i="2"/>
  <c r="D8" i="2"/>
  <c r="D10" i="2"/>
  <c r="D14" i="2"/>
  <c r="D9" i="2"/>
  <c r="D7" i="2"/>
  <c r="D13" i="2"/>
  <c r="D15" i="2" l="1"/>
</calcChain>
</file>

<file path=xl/sharedStrings.xml><?xml version="1.0" encoding="utf-8"?>
<sst xmlns="http://schemas.openxmlformats.org/spreadsheetml/2006/main" count="729" uniqueCount="455">
  <si>
    <t xml:space="preserve">Bill of Quantities </t>
  </si>
  <si>
    <t>Item No</t>
  </si>
  <si>
    <t>Description</t>
  </si>
  <si>
    <t>Unit</t>
  </si>
  <si>
    <t>Quantity</t>
  </si>
  <si>
    <t>Rate</t>
  </si>
  <si>
    <t>Amount</t>
  </si>
  <si>
    <t>Bill No. 5: Excavating and filling</t>
  </si>
  <si>
    <t>Bill No. 7: Piling</t>
  </si>
  <si>
    <t>m2</t>
  </si>
  <si>
    <t>m3</t>
  </si>
  <si>
    <t>nr</t>
  </si>
  <si>
    <t>m</t>
  </si>
  <si>
    <t>t</t>
  </si>
  <si>
    <t>Bill No. 11: In-situ concrete works</t>
  </si>
  <si>
    <t>PROJECT START DATE</t>
  </si>
  <si>
    <t>APRIL 2022</t>
  </si>
  <si>
    <t>Disposal of material arising from pile bores</t>
  </si>
  <si>
    <t>Storage on site</t>
  </si>
  <si>
    <t>Removal; 5km distance</t>
  </si>
  <si>
    <t>Hazardous waste</t>
  </si>
  <si>
    <t>Add to the above where tiing charges apply</t>
  </si>
  <si>
    <t>Add to the above rates where Landfill Tax applies:</t>
  </si>
  <si>
    <t>inactive or inert waste material</t>
  </si>
  <si>
    <t>Concrete 35N/mm2, 20mm aggregate; installed</t>
  </si>
  <si>
    <t>by lorry/crawler mounted rotary rig</t>
  </si>
  <si>
    <t>Dia.:500mm (pro rate rate)</t>
  </si>
  <si>
    <t>number of piles (see above)</t>
  </si>
  <si>
    <t>concrete length</t>
  </si>
  <si>
    <t>depth bored to 10 m maximum depth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</si>
  <si>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</si>
  <si>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</si>
  <si>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</si>
  <si>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</si>
  <si>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</si>
  <si>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</si>
  <si>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</si>
  <si>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</si>
  <si>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</si>
  <si>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</si>
  <si>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</si>
  <si>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</si>
  <si>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</si>
  <si>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</si>
  <si>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</si>
  <si>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</si>
  <si>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</si>
  <si>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</si>
  <si>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</si>
  <si>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</si>
  <si>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</si>
  <si>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</si>
  <si>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</si>
  <si>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</si>
  <si>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</si>
  <si>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</si>
  <si>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</si>
  <si>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</si>
  <si>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</si>
  <si>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</si>
  <si>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</si>
  <si>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</si>
  <si>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</si>
  <si>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</si>
  <si>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</si>
  <si>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</si>
  <si>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</si>
  <si>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</si>
  <si>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</si>
  <si>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</si>
  <si>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</si>
  <si>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</si>
  <si>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</si>
  <si>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</si>
  <si>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</si>
  <si>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</si>
  <si>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</si>
  <si>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</si>
  <si>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</si>
  <si>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</si>
  <si>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</si>
  <si>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</si>
  <si>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</si>
  <si>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</si>
  <si>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</si>
  <si>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</si>
  <si>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</si>
  <si>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</si>
  <si>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</si>
  <si>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</si>
  <si>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</si>
  <si>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</si>
  <si>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</si>
  <si>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</si>
  <si>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</si>
  <si>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</si>
  <si>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</si>
  <si>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</si>
  <si>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</si>
  <si>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</si>
  <si>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</si>
  <si>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</si>
  <si>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</si>
  <si>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</si>
  <si>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</si>
  <si>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</si>
  <si>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</si>
  <si>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</si>
  <si>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</si>
  <si>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</si>
  <si>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</si>
  <si>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</si>
  <si>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</si>
  <si>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</si>
  <si>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</si>
  <si>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</si>
  <si>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</si>
  <si>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</si>
  <si>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</si>
  <si>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</si>
  <si>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</si>
  <si>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</si>
  <si>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</si>
  <si>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</si>
  <si>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</si>
  <si>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</si>
  <si>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TA Building Consultancy</t>
  </si>
  <si>
    <t xml:space="preserve">Approx. Gross Floor Area (m2) </t>
  </si>
  <si>
    <t>Element of Work</t>
  </si>
  <si>
    <t>Percentage of Total cost</t>
  </si>
  <si>
    <t>Time Factor</t>
  </si>
  <si>
    <t>Location Factor</t>
  </si>
  <si>
    <t>Total cost (£) of new floor area (m2)</t>
  </si>
  <si>
    <t>TA Building Consultancy LTD</t>
  </si>
  <si>
    <t>Index Factors</t>
  </si>
  <si>
    <t>=Submission/Original</t>
  </si>
  <si>
    <t>Original Location Index - Outer London (Spon’s 2020)</t>
  </si>
  <si>
    <t>=Current/Original</t>
  </si>
  <si>
    <t xml:space="preserve">Spon's A&amp;B 2020 has been model calculated to give a book TPI </t>
  </si>
  <si>
    <t>SP - pg. 44</t>
  </si>
  <si>
    <t>Outer London (Spon’s 2020)</t>
  </si>
  <si>
    <t>SP - pg. 46</t>
  </si>
  <si>
    <t>PILING CAPS</t>
  </si>
  <si>
    <t>Single Pile - 750 x 750</t>
  </si>
  <si>
    <t>Double Pile - 1100 x 1300</t>
  </si>
  <si>
    <t>Triple Pile - 1300 x 1249</t>
  </si>
  <si>
    <t>750 depth</t>
  </si>
  <si>
    <t>Disposal of excavated earth other than rock or artificial hard material</t>
  </si>
  <si>
    <t>storage on site; 100m maximum distance; using 22.5 t ADT</t>
  </si>
  <si>
    <t>Add to the above rates where tipping charges apply:</t>
  </si>
  <si>
    <t>hazardous waate</t>
  </si>
  <si>
    <t>waste</t>
  </si>
  <si>
    <t>GEOTEXTILES</t>
  </si>
  <si>
    <t xml:space="preserve">Geotextiles; stabilization applications for reinforcement of </t>
  </si>
  <si>
    <t xml:space="preserve">granular subbases, capping layers and railway ballast placed </t>
  </si>
  <si>
    <t>weak and variable soils</t>
  </si>
  <si>
    <t>For use over weak soils with high traffic intensities and/or</t>
  </si>
  <si>
    <t>high axle loading; Tensar 2230 Polypropylene Geogrid</t>
  </si>
  <si>
    <t>horizontal</t>
  </si>
  <si>
    <t>EXCAVATION ANCILLARIES</t>
  </si>
  <si>
    <t xml:space="preserve">Excavate material other than topsoil, rock or artificial hard </t>
  </si>
  <si>
    <t>material</t>
  </si>
  <si>
    <t>1.0-2.0 deep</t>
  </si>
  <si>
    <t>Horizontal works</t>
  </si>
  <si>
    <t>06 PLACING OF CONCRETE; REINFORCED</t>
  </si>
  <si>
    <t>Bases, footings, piles caps and ground slabs;</t>
  </si>
  <si>
    <t>05 REINFORCEMENT</t>
  </si>
  <si>
    <t xml:space="preserve">Supply and fit reinforcement materials. Include for bars, tying </t>
  </si>
  <si>
    <t xml:space="preserve">wire, spacers, couplers and steel supports for bottom layer </t>
  </si>
  <si>
    <t>reinforcement (stools, chairs and risers)</t>
  </si>
  <si>
    <t>Plain round mild steel bars to BS 4449</t>
  </si>
  <si>
    <t>Bars; supplied in striaght lengths</t>
  </si>
  <si>
    <t>tonne</t>
  </si>
  <si>
    <t>Designed mix; sulphate-resisting cement to BS 4027</t>
  </si>
  <si>
    <t>Grade C20; 20 mm aggregate</t>
  </si>
  <si>
    <t>thickness - 150-300 mm</t>
  </si>
  <si>
    <t>Designed  Concrete</t>
  </si>
  <si>
    <t>Strength</t>
  </si>
  <si>
    <t>RC30/37</t>
  </si>
  <si>
    <t>Steel fabric to BS 4483</t>
  </si>
  <si>
    <t xml:space="preserve">Visqueen sheeting or other equal and approved; </t>
  </si>
  <si>
    <t>lapped joints; horizontal on slabs</t>
  </si>
  <si>
    <t>gas-resistant damp-proof membrane taped joints</t>
  </si>
  <si>
    <t>sealing at perimeter of slab</t>
  </si>
  <si>
    <t>sealing around penetrations; drain pipes etc.</t>
  </si>
  <si>
    <t>Unplasticized PVC pipes; ring seal sockets;</t>
  </si>
  <si>
    <t>6 m pipe lengths unless stated otherwise</t>
  </si>
  <si>
    <t xml:space="preserve">excavation and supports, backfilling; </t>
  </si>
  <si>
    <t>not in trench</t>
  </si>
  <si>
    <t xml:space="preserve">110 mm pipes; in trenches, depth </t>
  </si>
  <si>
    <t>ne 1.50m deep</t>
  </si>
  <si>
    <t xml:space="preserve">SUBSTRUCTURE - GROUNDBEAM </t>
  </si>
  <si>
    <t>SUBSTRUCTURE - FLOOR SLAB</t>
  </si>
  <si>
    <t>Bill No. 35. Site works</t>
  </si>
  <si>
    <t>External wall face length</t>
  </si>
  <si>
    <t>A-E</t>
  </si>
  <si>
    <t>1-9'</t>
  </si>
  <si>
    <t>A-E 2</t>
  </si>
  <si>
    <t>1-9' 2</t>
  </si>
  <si>
    <t>Total trench length</t>
  </si>
  <si>
    <t>MIN 200 THK RC SLAB WITH 2</t>
  </si>
  <si>
    <t>LAYERS A393 MESH, FOR</t>
  </si>
  <si>
    <t>REVOLVING DOOR, REFER TO</t>
  </si>
  <si>
    <t>ARCHITECT'S DRAWING FOR</t>
  </si>
  <si>
    <t>SETTING-OUT.</t>
  </si>
  <si>
    <t>150 THK RC GROUND BEARING SLAB</t>
  </si>
  <si>
    <t>WITH 1 LAYER OF A393 MESH ON 2000g DPM</t>
  </si>
  <si>
    <t>ON 150 THK WELL COMPACTED STONEDUST</t>
  </si>
  <si>
    <t>BLINDED TYPE 1 MATERIAL, FOR DETAILS OF</t>
  </si>
  <si>
    <t>GROUND IMPROVEMENT BELOW SLAB REFER</t>
  </si>
  <si>
    <t>TO SECTION 1-1 &amp; 2-2 ON DWG 101.</t>
  </si>
  <si>
    <t>1500 X 900 X 900 DEEP PIT WITH 200 THK RC</t>
  </si>
  <si>
    <t>BASE SLAB AND 200THK RC WALLS WITH 1</t>
  </si>
  <si>
    <t>LAYER OF A393 MESH TO ALL FACES TOP &amp;</t>
  </si>
  <si>
    <t>BOTTOM. TOP EDGE TO HAVE 100x100</t>
  </si>
  <si>
    <t>GALVANISED ANGLE WITH</t>
  </si>
  <si>
    <t>FISH TAIL TANGS ALL ROUND TO TO SUPPORT</t>
  </si>
  <si>
    <t>CHECKER PLATE.</t>
  </si>
  <si>
    <t>x</t>
  </si>
  <si>
    <t>REVOLVING DOOR ASSUME DIMS</t>
  </si>
  <si>
    <t>Expansion joints</t>
  </si>
  <si>
    <t>16 mm dia. × 750 mm long, debonding agent for 375 mm</t>
  </si>
  <si>
    <t xml:space="preserve"> and capped with PVC dowel cap</t>
  </si>
  <si>
    <t>GROUND SLAB</t>
  </si>
  <si>
    <t>Volume</t>
  </si>
  <si>
    <t>Area</t>
  </si>
  <si>
    <t>nominal mass 6.16kg/m2; ref A393</t>
  </si>
  <si>
    <t>thickness - exceeding 500mm</t>
  </si>
  <si>
    <t>Joint sealants</t>
  </si>
  <si>
    <t>20 x 20 cold polysulphide sealant</t>
  </si>
  <si>
    <t>10mm nominal size - Provisional sum</t>
  </si>
  <si>
    <r>
      <t xml:space="preserve">Formwork - </t>
    </r>
    <r>
      <rPr>
        <sz val="11"/>
        <color theme="1"/>
        <rFont val="Calibri"/>
        <family val="2"/>
        <scheme val="minor"/>
      </rPr>
      <t>plane horizontal , width .4-1.22 m</t>
    </r>
  </si>
  <si>
    <t>Supply and fit reinforcement materials include</t>
  </si>
  <si>
    <t>for bars, tying wire, spacers, couplers and steel</t>
  </si>
  <si>
    <t>supports for bottom layer reinforcement (stools,</t>
  </si>
  <si>
    <t>chairs and risers).</t>
  </si>
  <si>
    <t>Bars; supplied in straight lengths</t>
  </si>
  <si>
    <t>16 mm nominal size</t>
  </si>
  <si>
    <t>NOTE: NO ALLOWANCE FOR CONTAMINATED</t>
  </si>
  <si>
    <t>LAND REMEDIATION TAX RELIEF</t>
  </si>
  <si>
    <t>REFER TO SKETCH SK005</t>
  </si>
  <si>
    <t>'ENABLING WORKS' FOR</t>
  </si>
  <si>
    <t>CUT AND TURN</t>
  </si>
  <si>
    <t>SPECIFICATION.</t>
  </si>
  <si>
    <t>WEIGHT CALCULATION</t>
  </si>
  <si>
    <t>DIA</t>
  </si>
  <si>
    <t>No</t>
  </si>
  <si>
    <t>LENGTH</t>
  </si>
  <si>
    <t>mm</t>
  </si>
  <si>
    <t>5.9.2</t>
  </si>
  <si>
    <t>5.9.2.3</t>
  </si>
  <si>
    <t>5.6.1.1.1</t>
  </si>
  <si>
    <t>GENERAL EXCAVATION</t>
  </si>
  <si>
    <t>FILLING</t>
  </si>
  <si>
    <t>CAST-IN-PLACE CONCRETE PILES</t>
  </si>
  <si>
    <t>PLACING OF CONCRETE; REINFORCED</t>
  </si>
  <si>
    <t>REINFORCEMENT</t>
  </si>
  <si>
    <t>DESIGNED CONCRETE</t>
  </si>
  <si>
    <t>SUBSTRUCTURE - 900 x 900 x 900 DEEP PIT</t>
  </si>
  <si>
    <t>FORMWORK; ROUGH FINISH</t>
  </si>
  <si>
    <t>Formwork</t>
  </si>
  <si>
    <t>Plane vertical, width</t>
  </si>
  <si>
    <t>0.4-1.22m</t>
  </si>
  <si>
    <t>Bill No. 14: Masonry</t>
  </si>
  <si>
    <t>Thickness 103mm</t>
  </si>
  <si>
    <t>vertical straight walls</t>
  </si>
  <si>
    <t>FACING BRICKWORK</t>
  </si>
  <si>
    <t>Facing bricks; in plasticized cement mortar</t>
  </si>
  <si>
    <t>designation (iii)</t>
  </si>
  <si>
    <t xml:space="preserve">MANHOLES </t>
  </si>
  <si>
    <t>Precast concrete circular manhole; CPM Perfect</t>
  </si>
  <si>
    <t>Manhole; complete with preformed benching and</t>
  </si>
  <si>
    <t>outlets to base; elastomeric seal to joints to</t>
  </si>
  <si>
    <t>rings; single steps as required. Excavations and</t>
  </si>
  <si>
    <t>backfilling not included</t>
  </si>
  <si>
    <t>1200mm dia. with up to four outlets 100mm or</t>
  </si>
  <si>
    <t>150mm dia.; effective internal depth:</t>
  </si>
  <si>
    <t>1250 mm deep</t>
  </si>
  <si>
    <t>1500 mm deep</t>
  </si>
  <si>
    <t>GULLIES</t>
  </si>
  <si>
    <t>extra for bend; short radius (socket/spigot)</t>
  </si>
  <si>
    <t>extra for bend; adjustable (socket/spigot)</t>
  </si>
  <si>
    <t>extra for reducer</t>
  </si>
  <si>
    <t>extra for branches; equal (socket/spigot)</t>
  </si>
  <si>
    <t>POLYVINYL CHLORIDE PIPES</t>
  </si>
  <si>
    <t>UNDER SLAB DRAINAGE</t>
  </si>
  <si>
    <t>EXTERNAL DRAINAGE</t>
  </si>
  <si>
    <t>BORED CAST-IN-PLACE CONCRETE PILES</t>
  </si>
  <si>
    <t>7.8.1</t>
  </si>
  <si>
    <t>7.10.1.3</t>
  </si>
  <si>
    <t>7.10.2</t>
  </si>
  <si>
    <t>7.3.2.1</t>
  </si>
  <si>
    <t>11.04 SURFACE FINISHES</t>
  </si>
  <si>
    <t>Power floating</t>
  </si>
  <si>
    <t>34.01 URBAN AND LANDSCAPE DRAINAGE</t>
  </si>
  <si>
    <t>Slot and grate drainage</t>
  </si>
  <si>
    <t>ACO MultiDrain M100D polymer concrete channel</t>
  </si>
  <si>
    <t>drainage system; galvanized steel edge trim;</t>
  </si>
  <si>
    <t>nominal bore 100mm; type of fall constant; bedding</t>
  </si>
  <si>
    <t>and haunching with in situ concrete (not included)</t>
  </si>
  <si>
    <t>Slotted grating</t>
  </si>
  <si>
    <t>galvanized steel grating, load class A15</t>
  </si>
  <si>
    <t>(pedestrian areas)</t>
  </si>
  <si>
    <t>Current Location Index - Wales</t>
  </si>
  <si>
    <t>LEVEL 6 QUANTITY SURVEYING [UWTSD]</t>
  </si>
  <si>
    <t>Plus Working Space</t>
  </si>
  <si>
    <t>Library Building Piling Layout</t>
  </si>
  <si>
    <t>C4</t>
  </si>
  <si>
    <t>Drawing / Document description</t>
  </si>
  <si>
    <t>Revision</t>
  </si>
  <si>
    <t>Library Building Foundation Layout</t>
  </si>
  <si>
    <t>C7</t>
  </si>
  <si>
    <t>Project Ref</t>
  </si>
  <si>
    <t>Library Building Ground Floor Layout</t>
  </si>
  <si>
    <t>C5</t>
  </si>
  <si>
    <t>Library Building Sub-structure Sections</t>
  </si>
  <si>
    <t>C6</t>
  </si>
  <si>
    <t>Library Building Column Layout</t>
  </si>
  <si>
    <t>C3</t>
  </si>
  <si>
    <t>Library Building Section</t>
  </si>
  <si>
    <t>Library Building Shear Walls GA Sheet 1</t>
  </si>
  <si>
    <t>C1</t>
  </si>
  <si>
    <t>Library Building Shear Walls GA Sheet 2</t>
  </si>
  <si>
    <t>C2</t>
  </si>
  <si>
    <t>Document Register / Drawings Used</t>
  </si>
  <si>
    <t xml:space="preserve">Based on this limited information, we assumed an excavation of 2 metres and filled with import stone. </t>
  </si>
  <si>
    <t>We have use the drawing 'Library  Building  Sub-structure Sections' to inform this assumption.</t>
  </si>
  <si>
    <t>ON 150 THK WELL COMPACTED STONEDUST BLINDED TYPE 1 MATERIAL, FOR DETAILS OF</t>
  </si>
  <si>
    <t>The drawing 'LibrarY Building Ground Floor Layout' gives a number of specifications we have used:</t>
  </si>
  <si>
    <t>We have assumed the dimensions of revolving door to ensure we have allowed as per the following specification:</t>
  </si>
  <si>
    <t xml:space="preserve">- "MIN 200 THK RC SLAB WITH 2 FOR REVOLVING DOOR, 
LAYERS A393 MESH, </t>
  </si>
  <si>
    <t>REFER TO ARCHITECT'S DRAWING FOR SETTING-OUT"</t>
  </si>
  <si>
    <t xml:space="preserve"> - "150 THK RC GROUND BEARING SLAB WITH 1 LAYER OF A393 MESH ON 2000g DPM</t>
  </si>
  <si>
    <t>GROUND IMPROVEMENT BELOW SLAB REFER TO SECTION 1-1 &amp; 2-2 ON DWG 101."</t>
  </si>
  <si>
    <t>REVOLVING DOOR</t>
  </si>
  <si>
    <t>SUBSTRUCTURE - FLOOR SLAB - REVOLVING DOOR</t>
  </si>
  <si>
    <t>We have two 'DEEP PIT' items specified in the 'Library Building Ground Floor Layout'.</t>
  </si>
  <si>
    <t>We have various reinforced concrete shear walls specified  in the 'Library Building Ground Floor Layout'</t>
  </si>
  <si>
    <t>We have included these items within our 'Bill No. 11 - In-situ concrete works' section</t>
  </si>
  <si>
    <t>Steel Reinforcement to Piles</t>
  </si>
  <si>
    <t>PILING SCHEDULE</t>
  </si>
  <si>
    <t>BOREHOLE INFORMATION</t>
  </si>
  <si>
    <t>FLOOR SLAB - Damp proof membrane</t>
  </si>
  <si>
    <t>Imported natural material other than topsoil or</t>
  </si>
  <si>
    <t>rock; granular graded material</t>
  </si>
  <si>
    <t>Filling</t>
  </si>
  <si>
    <t>to structure</t>
  </si>
  <si>
    <t xml:space="preserve">NRM 2 </t>
  </si>
  <si>
    <t>Groundworks Bill of Quantities</t>
  </si>
  <si>
    <t>Preparation of a Bill of Quantities</t>
  </si>
  <si>
    <t>ACBA6001</t>
  </si>
  <si>
    <t xml:space="preserve">We included a powerfloated finished slab, with the 'RC UPSTAND' and 600mm facing brickwork </t>
  </si>
  <si>
    <t>as we do not have the 'FINISHES TO ARCHITECT'S DETAILS'. We are happy to include for additional</t>
  </si>
  <si>
    <t>floor finishes if further specification is available.</t>
  </si>
  <si>
    <t>Notable exerpts from Groundworks tender pack</t>
  </si>
  <si>
    <t>We have not been provided with a ring beam detail in full. We have assumed an allowance</t>
  </si>
  <si>
    <t xml:space="preserve">of reinforced steel within the pile ringbeam. </t>
  </si>
  <si>
    <t>In exerpt 4, we have a referral to 'SKETCH SK005 ENABLING WORK', mentioning cut and turn specification</t>
  </si>
  <si>
    <t>Also with exerpt 2, we are not in receipt of 'DWG 101' for 'GROUND IMPROVEMENT'</t>
  </si>
  <si>
    <t>hr</t>
  </si>
  <si>
    <t>-</t>
  </si>
  <si>
    <t>Standing time - RATE ONLY</t>
  </si>
  <si>
    <t>11.2.2.2.1</t>
  </si>
  <si>
    <t>11.9.1</t>
  </si>
  <si>
    <t>CONCRETE ACCESSORIES</t>
  </si>
  <si>
    <t>wood float; level</t>
  </si>
  <si>
    <t>Finishing of top surfaces</t>
  </si>
  <si>
    <t>Total trench area</t>
  </si>
  <si>
    <t>11.14.2</t>
  </si>
  <si>
    <t>11.34.1.2</t>
  </si>
  <si>
    <t>11.37.1</t>
  </si>
  <si>
    <t>BCIS Tender Index - in line with SPONS 2020 book TPI</t>
  </si>
  <si>
    <t>BCIS Tender Index - Movement</t>
  </si>
  <si>
    <t>BCIS Tender Index - Q2 2022 (PROJECT COMMENCEMENT)</t>
  </si>
  <si>
    <t>SPONS - Original Tender Index - SPONS 2020 book TPI</t>
  </si>
  <si>
    <t>SPONS Current Tender Index - Q2 2022 (PROJECT COMMENCEMENT)</t>
  </si>
  <si>
    <t>SPONS Tender Index - Movement</t>
  </si>
  <si>
    <t>SPONS TPI with BCIS accurate index movement</t>
  </si>
  <si>
    <t>Further Allowances, Assumptions &amp; Information Used</t>
  </si>
  <si>
    <t>BCIS All-in TPI - Last updated 22-Dec-2021</t>
  </si>
  <si>
    <t>Reference Description</t>
  </si>
  <si>
    <t>Page</t>
  </si>
  <si>
    <t>Series:</t>
  </si>
  <si>
    <t>BCIS All-in TPI</t>
  </si>
  <si>
    <t xml:space="preserve">Series number: </t>
  </si>
  <si>
    <t>quarterly</t>
  </si>
  <si>
    <t xml:space="preserve">Base: </t>
  </si>
  <si>
    <t>1985 mean = 100</t>
  </si>
  <si>
    <t xml:space="preserve">Last updated: </t>
  </si>
  <si>
    <t>Downloaded:</t>
  </si>
  <si>
    <t>Date</t>
  </si>
  <si>
    <t>Index</t>
  </si>
  <si>
    <t>Status</t>
  </si>
  <si>
    <t>Equivalent sample</t>
  </si>
  <si>
    <t>Percentage     change</t>
  </si>
  <si>
    <t>On year</t>
  </si>
  <si>
    <t>On quarter</t>
  </si>
  <si>
    <t>Provisional</t>
  </si>
  <si>
    <t>Forecast</t>
  </si>
  <si>
    <t>11.8.1</t>
  </si>
  <si>
    <t>11.5.1.1</t>
  </si>
  <si>
    <t>11.2.1.2.2</t>
  </si>
  <si>
    <t>Bill No. 28: Floor finishes</t>
  </si>
  <si>
    <t>SUBSTRUCTURE - FLOORSLAB</t>
  </si>
  <si>
    <t>28.25.1.1.1</t>
  </si>
  <si>
    <t xml:space="preserve"> Page of BoQ (1 of 7) and section of works (Groundworks)</t>
  </si>
  <si>
    <t xml:space="preserve"> Page of BoQ (2 of 7) and section of works (Groundworks)</t>
  </si>
  <si>
    <t xml:space="preserve"> Page of BoQ (3 of 7) and section of works (Groundworks)</t>
  </si>
  <si>
    <t xml:space="preserve"> Page of BoQ (4 of 7) and section of works (Groundworks)</t>
  </si>
  <si>
    <t xml:space="preserve"> Page of BoQ (5 of 7) and section of works (Groundworks)</t>
  </si>
  <si>
    <t xml:space="preserve"> Page of BoQ (6 of 7) and section of works (Groundworks)</t>
  </si>
  <si>
    <t xml:space="preserve"> Page of BoQ (7 of 7) and section of works (Groundwork)</t>
  </si>
  <si>
    <t>14.1.1</t>
  </si>
  <si>
    <t>14.14.1</t>
  </si>
  <si>
    <t>ANCILLARIES COMMON TO ALL DIVISIONS</t>
  </si>
  <si>
    <t>Concrete</t>
  </si>
  <si>
    <t>50 mm thick</t>
  </si>
  <si>
    <t>Infills</t>
  </si>
  <si>
    <t>Bill No. 34: Drainage below ground</t>
  </si>
  <si>
    <t>34.1.2.2</t>
  </si>
  <si>
    <t>34.3.1.2</t>
  </si>
  <si>
    <t>34.6.2.3</t>
  </si>
  <si>
    <t>Bill No. 33: Drainage above ground</t>
  </si>
  <si>
    <t xml:space="preserve"> Page of BoQ (6 of 8) and section of works (Groundworks)</t>
  </si>
  <si>
    <t>33.2.1.1</t>
  </si>
  <si>
    <t>Vitrified clay; set in concrete grade C20, 150mm</t>
  </si>
  <si>
    <t>thick; additional excavation and disposal</t>
  </si>
  <si>
    <t>Yard gully (mud); trapped with rodding eye;</t>
  </si>
  <si>
    <t>galvanized bucket; stopper</t>
  </si>
  <si>
    <t>225mm dia., 100mm dia. outlet, cast iron hinged</t>
  </si>
  <si>
    <t>grate and frame</t>
  </si>
  <si>
    <t>35.14.1.2</t>
  </si>
  <si>
    <t>Pricing Book Total (£)</t>
  </si>
  <si>
    <t>TOTAL with    indices applied</t>
  </si>
  <si>
    <t>Subbases</t>
  </si>
  <si>
    <t>100mm thick concrete grade 20/20</t>
  </si>
  <si>
    <t>150mm thick hardcore</t>
  </si>
  <si>
    <t>Cobble paving; 50–75mm; bedding on 25mm</t>
  </si>
  <si>
    <t>cement mortar; filling joints; excluding subbase</t>
  </si>
  <si>
    <t>Paved area; sloping not exceeding 10° to the</t>
  </si>
  <si>
    <t>50–75mm dia. cobbles</t>
  </si>
  <si>
    <t>Foundations to kerbs etc.</t>
  </si>
  <si>
    <t>Mass concrete</t>
  </si>
  <si>
    <t>200 × 100mm</t>
  </si>
  <si>
    <t>Precast Concrete kerbs to BS 7263</t>
  </si>
  <si>
    <t>Kerbs; bullnosed; splayed or half battered; straight or</t>
  </si>
  <si>
    <t>curved over 12m radius</t>
  </si>
  <si>
    <t>125 × 150mm</t>
  </si>
  <si>
    <t>35.1.1</t>
  </si>
  <si>
    <t>SUBSTRUCTURE - SHEER WALLS</t>
  </si>
  <si>
    <t>SHEER WALLS</t>
  </si>
  <si>
    <t>MASS PILE CAPS</t>
  </si>
  <si>
    <t>AREA 1</t>
  </si>
  <si>
    <t>AREA 2</t>
  </si>
  <si>
    <t>Mass Pile Caps (over lift area) - 2nr @ 1200mm depth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</si>
</sst>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£&quot;* #,##0.00_-;\-&quot;£&quot;* #,##0.00_-;_-&quot;£&quot;* &quot;-&quot;??_-;_-@_-"/>
    <numFmt numFmtId="164" formatCode="0.000"/>
    <numFmt numFmtId="165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fornian FB"/>
      <family val="1"/>
    </font>
    <font>
      <b/>
      <sz val="12"/>
      <color indexed="8"/>
      <name val="Arial"/>
      <family val="2"/>
    </font>
    <font>
      <sz val="12"/>
      <color indexed="8"/>
      <name val="Arial Black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fornian FB"/>
      <family val="1"/>
    </font>
    <font>
      <b/>
      <sz val="18"/>
      <color theme="1"/>
      <name val="Californian FB"/>
      <family val="1"/>
    </font>
    <font>
      <b/>
      <sz val="20"/>
      <color theme="1"/>
      <name val="Californian FB"/>
      <family val="1"/>
    </font>
    <font>
      <b/>
      <u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3D3D3"/>
        <bgColor rgb="FF000000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25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3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0" fillId="0" borderId="11" xfId="0" applyBorder="1"/>
    <xf numFmtId="0" fontId="1" fillId="0" borderId="3" xfId="0" applyFont="1" applyBorder="1"/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14" fontId="6" fillId="0" borderId="0" xfId="0" applyNumberFormat="1" applyFont="1" applyAlignment="1">
      <alignment horizontal="left"/>
    </xf>
    <xf numFmtId="44" fontId="0" fillId="0" borderId="11" xfId="1" applyFont="1" applyBorder="1"/>
    <xf numFmtId="44" fontId="0" fillId="0" borderId="0" xfId="1" applyFont="1"/>
    <xf numFmtId="0" fontId="1" fillId="0" borderId="0" xfId="0" applyFont="1"/>
    <xf numFmtId="0" fontId="0" fillId="0" borderId="0" xfId="0" applyFill="1" applyBorder="1"/>
    <xf numFmtId="0" fontId="2" fillId="0" borderId="3" xfId="0" applyFont="1" applyBorder="1"/>
    <xf numFmtId="44" fontId="0" fillId="0" borderId="8" xfId="0" applyNumberFormat="1" applyBorder="1"/>
    <xf numFmtId="44" fontId="0" fillId="0" borderId="0" xfId="0" applyNumberFormat="1"/>
    <xf numFmtId="0" fontId="0" fillId="0" borderId="4" xfId="0" applyBorder="1" applyAlignment="1">
      <alignment horizontal="left"/>
    </xf>
    <xf numFmtId="0" fontId="0" fillId="0" borderId="4" xfId="0" applyBorder="1"/>
    <xf numFmtId="0" fontId="0" fillId="0" borderId="12" xfId="0" applyBorder="1"/>
    <xf numFmtId="0" fontId="0" fillId="0" borderId="13" xfId="0" applyBorder="1"/>
    <xf numFmtId="0" fontId="0" fillId="0" borderId="2" xfId="0" applyBorder="1"/>
    <xf numFmtId="44" fontId="0" fillId="0" borderId="2" xfId="1" applyFont="1" applyBorder="1"/>
    <xf numFmtId="0" fontId="0" fillId="0" borderId="0" xfId="0" applyBorder="1" applyAlignment="1">
      <alignment horizontal="left"/>
    </xf>
    <xf numFmtId="44" fontId="0" fillId="0" borderId="0" xfId="1" applyFont="1" applyBorder="1"/>
    <xf numFmtId="44" fontId="0" fillId="0" borderId="0" xfId="0" applyNumberFormat="1" applyBorder="1"/>
    <xf numFmtId="0" fontId="7" fillId="0" borderId="0" xfId="0" applyFont="1" applyFill="1"/>
    <xf numFmtId="0" fontId="8" fillId="0" borderId="0" xfId="0" applyFont="1" applyFill="1"/>
    <xf numFmtId="2" fontId="0" fillId="0" borderId="0" xfId="0" applyNumberFormat="1"/>
    <xf numFmtId="0" fontId="1" fillId="2" borderId="14" xfId="0" applyFont="1" applyFill="1" applyBorder="1" applyAlignment="1">
      <alignment horizontal="center" vertical="center"/>
    </xf>
    <xf numFmtId="2" fontId="1" fillId="2" borderId="14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44" fontId="1" fillId="0" borderId="14" xfId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2" fontId="1" fillId="0" borderId="15" xfId="0" applyNumberFormat="1" applyFont="1" applyBorder="1" applyAlignment="1">
      <alignment horizontal="center" vertical="center" wrapText="1"/>
    </xf>
    <xf numFmtId="44" fontId="1" fillId="0" borderId="15" xfId="1" applyFont="1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44" fontId="0" fillId="0" borderId="16" xfId="1" applyFont="1" applyBorder="1" applyAlignment="1">
      <alignment vertical="center"/>
    </xf>
    <xf numFmtId="2" fontId="0" fillId="0" borderId="18" xfId="2" applyNumberFormat="1" applyFont="1" applyBorder="1" applyAlignment="1">
      <alignment vertical="center"/>
    </xf>
    <xf numFmtId="2" fontId="0" fillId="0" borderId="15" xfId="2" applyNumberFormat="1" applyFont="1" applyBorder="1" applyAlignment="1">
      <alignment vertical="center"/>
    </xf>
    <xf numFmtId="44" fontId="0" fillId="0" borderId="15" xfId="1" applyFont="1" applyBorder="1" applyAlignment="1">
      <alignment vertical="center" wrapText="1"/>
    </xf>
    <xf numFmtId="0" fontId="0" fillId="0" borderId="19" xfId="0" applyBorder="1" applyAlignment="1">
      <alignment vertical="center"/>
    </xf>
    <xf numFmtId="44" fontId="0" fillId="0" borderId="20" xfId="1" applyFont="1" applyBorder="1" applyAlignment="1">
      <alignment vertical="center"/>
    </xf>
    <xf numFmtId="2" fontId="0" fillId="0" borderId="0" xfId="2" applyNumberFormat="1" applyFont="1" applyBorder="1" applyAlignment="1">
      <alignment vertical="center"/>
    </xf>
    <xf numFmtId="2" fontId="0" fillId="0" borderId="19" xfId="2" applyNumberFormat="1" applyFont="1" applyBorder="1" applyAlignment="1">
      <alignment vertical="center"/>
    </xf>
    <xf numFmtId="44" fontId="0" fillId="0" borderId="19" xfId="1" applyFont="1" applyBorder="1" applyAlignment="1">
      <alignment vertical="center" wrapText="1"/>
    </xf>
    <xf numFmtId="0" fontId="0" fillId="0" borderId="22" xfId="0" applyBorder="1" applyAlignment="1">
      <alignment vertical="center"/>
    </xf>
    <xf numFmtId="44" fontId="0" fillId="0" borderId="23" xfId="1" applyFont="1" applyBorder="1" applyAlignment="1">
      <alignment vertical="center"/>
    </xf>
    <xf numFmtId="2" fontId="0" fillId="0" borderId="22" xfId="2" applyNumberFormat="1" applyFont="1" applyBorder="1" applyAlignment="1">
      <alignment vertical="center"/>
    </xf>
    <xf numFmtId="44" fontId="0" fillId="0" borderId="22" xfId="1" applyFont="1" applyBorder="1" applyAlignment="1">
      <alignment vertical="center" wrapText="1"/>
    </xf>
    <xf numFmtId="2" fontId="0" fillId="0" borderId="22" xfId="0" applyNumberFormat="1" applyBorder="1"/>
    <xf numFmtId="44" fontId="0" fillId="0" borderId="22" xfId="1" applyFont="1" applyBorder="1"/>
    <xf numFmtId="10" fontId="0" fillId="0" borderId="15" xfId="2" applyNumberFormat="1" applyFont="1" applyBorder="1" applyAlignment="1">
      <alignment vertical="center"/>
    </xf>
    <xf numFmtId="10" fontId="0" fillId="0" borderId="19" xfId="2" applyNumberFormat="1" applyFont="1" applyBorder="1" applyAlignment="1">
      <alignment vertical="center"/>
    </xf>
    <xf numFmtId="10" fontId="0" fillId="0" borderId="22" xfId="2" applyNumberFormat="1" applyFont="1" applyBorder="1" applyAlignment="1">
      <alignment vertical="center"/>
    </xf>
    <xf numFmtId="44" fontId="1" fillId="0" borderId="13" xfId="0" applyNumberFormat="1" applyFont="1" applyBorder="1"/>
    <xf numFmtId="0" fontId="0" fillId="0" borderId="15" xfId="0" applyBorder="1"/>
    <xf numFmtId="49" fontId="0" fillId="0" borderId="14" xfId="0" applyNumberFormat="1" applyBorder="1"/>
    <xf numFmtId="0" fontId="0" fillId="0" borderId="19" xfId="0" applyBorder="1"/>
    <xf numFmtId="2" fontId="1" fillId="0" borderId="0" xfId="0" applyNumberFormat="1" applyFont="1"/>
    <xf numFmtId="0" fontId="0" fillId="0" borderId="22" xfId="0" applyBorder="1"/>
    <xf numFmtId="0" fontId="0" fillId="0" borderId="3" xfId="0" applyFont="1" applyBorder="1"/>
    <xf numFmtId="0" fontId="3" fillId="0" borderId="3" xfId="0" applyFont="1" applyBorder="1"/>
    <xf numFmtId="164" fontId="0" fillId="0" borderId="0" xfId="0" applyNumberFormat="1" applyFill="1" applyBorder="1"/>
    <xf numFmtId="164" fontId="0" fillId="0" borderId="0" xfId="1" applyNumberFormat="1" applyFont="1" applyFill="1" applyBorder="1"/>
    <xf numFmtId="164" fontId="1" fillId="0" borderId="0" xfId="1" applyNumberFormat="1" applyFont="1" applyFill="1" applyBorder="1"/>
    <xf numFmtId="164" fontId="2" fillId="0" borderId="0" xfId="0" applyNumberFormat="1" applyFont="1" applyFill="1" applyBorder="1" applyAlignment="1">
      <alignment vertical="center"/>
    </xf>
    <xf numFmtId="164" fontId="0" fillId="0" borderId="0" xfId="0" applyNumberFormat="1" applyFill="1" applyBorder="1" applyAlignment="1">
      <alignment vertical="center"/>
    </xf>
    <xf numFmtId="164" fontId="0" fillId="0" borderId="0" xfId="1" applyNumberFormat="1" applyFont="1" applyFill="1" applyBorder="1" applyAlignment="1">
      <alignment vertical="center"/>
    </xf>
    <xf numFmtId="164" fontId="1" fillId="0" borderId="0" xfId="1" applyNumberFormat="1" applyFont="1" applyFill="1" applyBorder="1" applyAlignment="1">
      <alignment vertical="center"/>
    </xf>
    <xf numFmtId="164" fontId="0" fillId="0" borderId="0" xfId="0" applyNumberFormat="1" applyFill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164" fontId="0" fillId="0" borderId="0" xfId="2" applyNumberFormat="1" applyFont="1" applyFill="1" applyBorder="1" applyAlignment="1">
      <alignment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164" fontId="0" fillId="0" borderId="0" xfId="0" quotePrefix="1" applyNumberFormat="1" applyFill="1" applyBorder="1" applyAlignment="1">
      <alignment vertical="center"/>
    </xf>
    <xf numFmtId="164" fontId="4" fillId="0" borderId="0" xfId="1" applyNumberFormat="1" applyFont="1" applyFill="1" applyBorder="1" applyAlignment="1">
      <alignment vertical="center"/>
    </xf>
    <xf numFmtId="164" fontId="1" fillId="0" borderId="26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vertical="center"/>
    </xf>
    <xf numFmtId="164" fontId="1" fillId="0" borderId="0" xfId="0" quotePrefix="1" applyNumberFormat="1" applyFont="1" applyFill="1" applyBorder="1" applyAlignment="1">
      <alignment vertical="center"/>
    </xf>
    <xf numFmtId="0" fontId="0" fillId="5" borderId="0" xfId="0" applyFill="1"/>
    <xf numFmtId="0" fontId="0" fillId="6" borderId="0" xfId="0" applyFill="1"/>
    <xf numFmtId="2" fontId="0" fillId="0" borderId="11" xfId="0" applyNumberFormat="1" applyBorder="1"/>
    <xf numFmtId="165" fontId="0" fillId="0" borderId="11" xfId="0" applyNumberFormat="1" applyBorder="1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2" fontId="0" fillId="0" borderId="2" xfId="0" applyNumberFormat="1" applyBorder="1"/>
    <xf numFmtId="0" fontId="0" fillId="0" borderId="0" xfId="0" applyBorder="1" applyAlignment="1">
      <alignment horizontal="center"/>
    </xf>
    <xf numFmtId="0" fontId="0" fillId="0" borderId="18" xfId="0" applyBorder="1"/>
    <xf numFmtId="0" fontId="0" fillId="0" borderId="17" xfId="0" applyBorder="1"/>
    <xf numFmtId="0" fontId="0" fillId="0" borderId="2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6" xfId="0" applyBorder="1"/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28" xfId="0" applyFill="1" applyBorder="1"/>
    <xf numFmtId="0" fontId="0" fillId="0" borderId="24" xfId="0" applyBorder="1"/>
    <xf numFmtId="0" fontId="0" fillId="0" borderId="28" xfId="0" applyBorder="1"/>
    <xf numFmtId="10" fontId="0" fillId="0" borderId="22" xfId="0" applyNumberFormat="1" applyBorder="1"/>
    <xf numFmtId="2" fontId="0" fillId="0" borderId="28" xfId="2" applyNumberFormat="1" applyFont="1" applyBorder="1" applyAlignment="1">
      <alignment vertical="center"/>
    </xf>
    <xf numFmtId="44" fontId="0" fillId="0" borderId="14" xfId="1" applyFont="1" applyBorder="1"/>
    <xf numFmtId="44" fontId="0" fillId="0" borderId="18" xfId="1" applyFont="1" applyBorder="1" applyAlignment="1">
      <alignment vertical="center"/>
    </xf>
    <xf numFmtId="44" fontId="0" fillId="0" borderId="0" xfId="1" applyFont="1" applyBorder="1" applyAlignment="1">
      <alignment vertical="center"/>
    </xf>
    <xf numFmtId="49" fontId="0" fillId="0" borderId="14" xfId="0" applyNumberFormat="1" applyBorder="1" applyAlignment="1">
      <alignment vertical="center"/>
    </xf>
    <xf numFmtId="164" fontId="1" fillId="3" borderId="14" xfId="2" applyNumberFormat="1" applyFont="1" applyFill="1" applyBorder="1" applyAlignment="1">
      <alignment horizontal="center" vertical="center"/>
    </xf>
    <xf numFmtId="165" fontId="0" fillId="0" borderId="0" xfId="2" applyNumberFormat="1" applyFont="1" applyFill="1" applyBorder="1" applyAlignment="1">
      <alignment vertical="center"/>
    </xf>
    <xf numFmtId="165" fontId="0" fillId="0" borderId="0" xfId="0" applyNumberFormat="1" applyFill="1" applyBorder="1" applyAlignment="1">
      <alignment vertic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0" xfId="0" applyFont="1"/>
    <xf numFmtId="0" fontId="0" fillId="7" borderId="0" xfId="0" applyFill="1"/>
    <xf numFmtId="0" fontId="0" fillId="8" borderId="0" xfId="0" applyFill="1"/>
    <xf numFmtId="0" fontId="0" fillId="0" borderId="0" xfId="0" applyFill="1"/>
    <xf numFmtId="0" fontId="0" fillId="0" borderId="0" xfId="0" applyAlignment="1"/>
    <xf numFmtId="49" fontId="0" fillId="0" borderId="0" xfId="0" applyNumberFormat="1"/>
    <xf numFmtId="0" fontId="0" fillId="0" borderId="0" xfId="0" applyAlignment="1">
      <alignment horizontal="left" indent="1"/>
    </xf>
    <xf numFmtId="49" fontId="0" fillId="0" borderId="0" xfId="0" applyNumberFormat="1" applyAlignment="1"/>
    <xf numFmtId="0" fontId="9" fillId="0" borderId="18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164" fontId="11" fillId="9" borderId="25" xfId="0" applyNumberFormat="1" applyFont="1" applyFill="1" applyBorder="1" applyAlignment="1">
      <alignment vertical="center"/>
    </xf>
    <xf numFmtId="164" fontId="11" fillId="9" borderId="27" xfId="0" applyNumberFormat="1" applyFont="1" applyFill="1" applyBorder="1" applyAlignment="1">
      <alignment vertical="center"/>
    </xf>
    <xf numFmtId="164" fontId="11" fillId="9" borderId="26" xfId="0" applyNumberFormat="1" applyFont="1" applyFill="1" applyBorder="1" applyAlignment="1">
      <alignment vertical="center"/>
    </xf>
    <xf numFmtId="0" fontId="11" fillId="9" borderId="25" xfId="0" applyFont="1" applyFill="1" applyBorder="1"/>
    <xf numFmtId="0" fontId="0" fillId="9" borderId="27" xfId="0" applyFill="1" applyBorder="1"/>
    <xf numFmtId="0" fontId="0" fillId="9" borderId="26" xfId="0" applyFill="1" applyBorder="1"/>
    <xf numFmtId="164" fontId="10" fillId="9" borderId="16" xfId="0" applyNumberFormat="1" applyFont="1" applyFill="1" applyBorder="1" applyAlignment="1">
      <alignment vertical="center"/>
    </xf>
    <xf numFmtId="164" fontId="0" fillId="9" borderId="18" xfId="0" applyNumberFormat="1" applyFill="1" applyBorder="1" applyAlignment="1">
      <alignment vertical="center"/>
    </xf>
    <xf numFmtId="164" fontId="0" fillId="9" borderId="17" xfId="0" applyNumberFormat="1" applyFill="1" applyBorder="1" applyAlignment="1">
      <alignment vertical="center"/>
    </xf>
    <xf numFmtId="0" fontId="1" fillId="0" borderId="24" xfId="0" applyFont="1" applyBorder="1" applyAlignment="1">
      <alignment horizontal="center"/>
    </xf>
    <xf numFmtId="165" fontId="1" fillId="0" borderId="0" xfId="2" applyNumberFormat="1" applyFont="1" applyFill="1" applyBorder="1" applyAlignment="1">
      <alignment vertical="center"/>
    </xf>
    <xf numFmtId="0" fontId="0" fillId="0" borderId="3" xfId="0" applyBorder="1" applyAlignment="1">
      <alignment horizontal="left" indent="1"/>
    </xf>
    <xf numFmtId="0" fontId="12" fillId="9" borderId="0" xfId="0" applyFont="1" applyFill="1"/>
    <xf numFmtId="0" fontId="12" fillId="9" borderId="0" xfId="0" applyFont="1" applyFill="1" applyAlignment="1">
      <alignment horizontal="left"/>
    </xf>
    <xf numFmtId="49" fontId="13" fillId="9" borderId="0" xfId="0" applyNumberFormat="1" applyFont="1" applyFill="1"/>
    <xf numFmtId="49" fontId="5" fillId="0" borderId="0" xfId="0" applyNumberFormat="1" applyFont="1" applyFill="1"/>
    <xf numFmtId="0" fontId="14" fillId="2" borderId="0" xfId="0" applyFont="1" applyFill="1"/>
    <xf numFmtId="0" fontId="14" fillId="2" borderId="0" xfId="0" applyFont="1" applyFill="1" applyAlignment="1">
      <alignment horizontal="left" vertical="center"/>
    </xf>
    <xf numFmtId="0" fontId="0" fillId="7" borderId="0" xfId="0" applyFont="1" applyFill="1"/>
    <xf numFmtId="0" fontId="1" fillId="0" borderId="0" xfId="0" applyFont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5" fillId="0" borderId="0" xfId="0" applyFont="1"/>
    <xf numFmtId="0" fontId="0" fillId="0" borderId="11" xfId="0" applyBorder="1" applyAlignment="1">
      <alignment horizontal="right"/>
    </xf>
    <xf numFmtId="0" fontId="1" fillId="0" borderId="0" xfId="0" applyFont="1" applyAlignment="1">
      <alignment horizontal="left" indent="1"/>
    </xf>
    <xf numFmtId="164" fontId="1" fillId="3" borderId="25" xfId="0" applyNumberFormat="1" applyFont="1" applyFill="1" applyBorder="1" applyAlignment="1">
      <alignment horizontal="center" vertical="center"/>
    </xf>
    <xf numFmtId="164" fontId="1" fillId="3" borderId="27" xfId="0" applyNumberFormat="1" applyFont="1" applyFill="1" applyBorder="1" applyAlignment="1">
      <alignment horizontal="center" vertical="center"/>
    </xf>
    <xf numFmtId="164" fontId="1" fillId="3" borderId="25" xfId="0" applyNumberFormat="1" applyFont="1" applyFill="1" applyBorder="1" applyAlignment="1">
      <alignment horizontal="center" vertical="center" wrapText="1"/>
    </xf>
    <xf numFmtId="164" fontId="1" fillId="3" borderId="2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4" fontId="2" fillId="0" borderId="2" xfId="1" applyFont="1" applyBorder="1" applyAlignment="1">
      <alignment horizontal="left" vertical="center"/>
    </xf>
    <xf numFmtId="0" fontId="0" fillId="0" borderId="4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3" fillId="0" borderId="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1" fontId="0" fillId="0" borderId="11" xfId="0" applyNumberFormat="1" applyBorder="1"/>
    <xf numFmtId="0" fontId="0" fillId="0" borderId="0" xfId="0" applyBorder="1" applyAlignment="1">
      <alignment horizontal="center" vertical="center" wrapText="1"/>
    </xf>
    <xf numFmtId="0" fontId="0" fillId="0" borderId="14" xfId="0" applyBorder="1"/>
    <xf numFmtId="0" fontId="0" fillId="0" borderId="14" xfId="0" applyFill="1" applyBorder="1"/>
    <xf numFmtId="0" fontId="0" fillId="4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2" xfId="0" applyBorder="1" applyAlignment="1">
      <alignment horizontal="center"/>
    </xf>
    <xf numFmtId="0" fontId="0" fillId="0" borderId="31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 applyAlignment="1">
      <alignment wrapText="1"/>
    </xf>
    <xf numFmtId="0" fontId="0" fillId="0" borderId="37" xfId="0" applyBorder="1" applyAlignment="1">
      <alignment horizontal="center"/>
    </xf>
    <xf numFmtId="0" fontId="1" fillId="0" borderId="38" xfId="0" applyFont="1" applyBorder="1"/>
    <xf numFmtId="0" fontId="0" fillId="0" borderId="27" xfId="0" applyBorder="1"/>
    <xf numFmtId="0" fontId="1" fillId="0" borderId="26" xfId="0" applyFont="1" applyBorder="1"/>
    <xf numFmtId="0" fontId="16" fillId="0" borderId="39" xfId="0" applyFont="1" applyBorder="1" applyAlignment="1">
      <alignment horizontal="left" vertical="center" wrapText="1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10" borderId="0" xfId="0" applyFont="1" applyFill="1" applyAlignment="1">
      <alignment horizontal="right" vertical="center"/>
    </xf>
    <xf numFmtId="0" fontId="18" fillId="10" borderId="0" xfId="0" applyFont="1" applyFill="1" applyAlignment="1">
      <alignment horizontal="center" vertical="center"/>
    </xf>
    <xf numFmtId="17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17" fontId="17" fillId="0" borderId="41" xfId="0" applyNumberFormat="1" applyFont="1" applyBorder="1" applyAlignment="1">
      <alignment horizontal="right" vertical="center"/>
    </xf>
    <xf numFmtId="0" fontId="17" fillId="0" borderId="41" xfId="0" applyFont="1" applyBorder="1" applyAlignment="1">
      <alignment horizontal="right" vertical="center"/>
    </xf>
    <xf numFmtId="0" fontId="17" fillId="0" borderId="41" xfId="0" applyFont="1" applyBorder="1"/>
    <xf numFmtId="0" fontId="17" fillId="0" borderId="41" xfId="0" applyFont="1" applyBorder="1" applyAlignment="1">
      <alignment horizontal="center" vertical="center"/>
    </xf>
    <xf numFmtId="0" fontId="16" fillId="0" borderId="39" xfId="0" applyFont="1" applyBorder="1" applyAlignment="1">
      <alignment horizontal="left" vertical="center" wrapText="1"/>
    </xf>
    <xf numFmtId="0" fontId="16" fillId="0" borderId="40" xfId="0" applyFont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15" fontId="17" fillId="0" borderId="0" xfId="0" applyNumberFormat="1" applyFont="1" applyAlignment="1">
      <alignment vertical="center"/>
    </xf>
    <xf numFmtId="22" fontId="17" fillId="0" borderId="0" xfId="0" applyNumberFormat="1" applyFont="1" applyAlignment="1">
      <alignment vertical="center"/>
    </xf>
    <xf numFmtId="0" fontId="18" fillId="10" borderId="0" xfId="0" applyFont="1" applyFill="1" applyAlignment="1">
      <alignment horizontal="center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0" fillId="0" borderId="2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30" xfId="0" applyBorder="1" applyAlignment="1">
      <alignment horizontal="left"/>
    </xf>
    <xf numFmtId="164" fontId="1" fillId="0" borderId="6" xfId="2" applyNumberFormat="1" applyFont="1" applyFill="1" applyBorder="1" applyAlignment="1">
      <alignment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66CC"/>
      <color rgb="FFFFCCFF"/>
      <color rgb="FFCC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141514</xdr:colOff>
      <xdr:row>1</xdr:row>
      <xdr:rowOff>63334</xdr:rowOff>
    </xdr:from>
    <xdr:to>
      <xdr:col>6</xdr:col>
      <xdr:colOff>3179</xdr:colOff>
      <xdr:row>10</xdr:row>
      <xdr:rowOff>87086</xdr:rowOff>
    </xdr:to>
    <xdr:pic>
      <xdr:nvPicPr>
        <xdr:cNvPr id="2" name="Picture 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49"/>
        <a:stretch/>
      </xdr:blipFill>
      <xdr:spPr bwMode="auto">
        <a:xfrm>
          <a:off x="5812971" y="248391"/>
          <a:ext cx="1646922" cy="168926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571501</xdr:colOff>
      <xdr:row>0</xdr:row>
      <xdr:rowOff>0</xdr:rowOff>
    </xdr:from>
    <xdr:to>
      <xdr:col>8</xdr:col>
      <xdr:colOff>7189</xdr:colOff>
      <xdr:row>2</xdr:row>
      <xdr:rowOff>129540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36" b="87500" l="14815" r="100000">
                      <a14:foregroundMark x1="86111" y1="54018" x2="86111" y2="54018"/>
                      <a14:foregroundMark x1="58796" y1="54018" x2="58796" y2="54018"/>
                      <a14:foregroundMark x1="49074" y1="51786" x2="49074" y2="51786"/>
                      <a14:foregroundMark x1="53241" y1="63393" x2="53241" y2="63393"/>
                      <a14:foregroundMark x1="62037" y1="67411" x2="62037" y2="674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5452" t="1" b="17321"/>
        <a:stretch/>
      </xdr:blipFill>
      <xdr:spPr bwMode="auto">
        <a:xfrm>
          <a:off x="9342121" y="0"/>
          <a:ext cx="746327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0</xdr:row>
      <xdr:rowOff>32657</xdr:rowOff>
    </xdr:from>
    <xdr:to>
      <xdr:col>5</xdr:col>
      <xdr:colOff>769731</xdr:colOff>
      <xdr:row>3</xdr:row>
      <xdr:rowOff>47897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36" b="87500" l="14815" r="100000">
                      <a14:foregroundMark x1="86111" y1="54018" x2="86111" y2="54018"/>
                      <a14:foregroundMark x1="58796" y1="54018" x2="58796" y2="54018"/>
                      <a14:foregroundMark x1="49074" y1="51786" x2="49074" y2="51786"/>
                      <a14:foregroundMark x1="53241" y1="63393" x2="53241" y2="63393"/>
                      <a14:foregroundMark x1="62037" y1="67411" x2="62037" y2="674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5452" t="1" b="17321"/>
        <a:stretch/>
      </xdr:blipFill>
      <xdr:spPr bwMode="auto">
        <a:xfrm>
          <a:off x="3676650" y="32657"/>
          <a:ext cx="750681" cy="5638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0</xdr:row>
      <xdr:rowOff>32657</xdr:rowOff>
    </xdr:from>
    <xdr:to>
      <xdr:col>6</xdr:col>
      <xdr:colOff>129651</xdr:colOff>
      <xdr:row>2</xdr:row>
      <xdr:rowOff>108857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36" b="87500" l="14815" r="100000">
                      <a14:foregroundMark x1="86111" y1="54018" x2="86111" y2="54018"/>
                      <a14:foregroundMark x1="58796" y1="54018" x2="58796" y2="54018"/>
                      <a14:foregroundMark x1="49074" y1="51786" x2="49074" y2="51786"/>
                      <a14:foregroundMark x1="53241" y1="63393" x2="53241" y2="63393"/>
                      <a14:foregroundMark x1="62037" y1="67411" x2="62037" y2="674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5452" t="1" b="17321"/>
        <a:stretch/>
      </xdr:blipFill>
      <xdr:spPr bwMode="auto">
        <a:xfrm>
          <a:off x="3927021" y="32657"/>
          <a:ext cx="752858" cy="5551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28</xdr:col>
      <xdr:colOff>0</xdr:colOff>
      <xdr:row>6</xdr:row>
      <xdr:rowOff>0</xdr:rowOff>
    </xdr:from>
    <xdr:to>
      <xdr:col>50</xdr:col>
      <xdr:colOff>55362</xdr:colOff>
      <xdr:row>21</xdr:row>
      <xdr:rowOff>75726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831050" y="1238250"/>
          <a:ext cx="14304762" cy="37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702127</xdr:colOff>
      <xdr:row>0</xdr:row>
      <xdr:rowOff>0</xdr:rowOff>
    </xdr:from>
    <xdr:to>
      <xdr:col>8</xdr:col>
      <xdr:colOff>7185</xdr:colOff>
      <xdr:row>2</xdr:row>
      <xdr:rowOff>102325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36" b="87500" l="14815" r="100000">
                      <a14:foregroundMark x1="86111" y1="54018" x2="86111" y2="54018"/>
                      <a14:foregroundMark x1="58796" y1="54018" x2="58796" y2="54018"/>
                      <a14:foregroundMark x1="49074" y1="51786" x2="49074" y2="51786"/>
                      <a14:foregroundMark x1="53241" y1="63393" x2="53241" y2="63393"/>
                      <a14:foregroundMark x1="62037" y1="67411" x2="62037" y2="674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5452" t="1" b="17321"/>
        <a:stretch/>
      </xdr:blipFill>
      <xdr:spPr bwMode="auto">
        <a:xfrm>
          <a:off x="6798127" y="0"/>
          <a:ext cx="714758" cy="521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2:F28"/>
  <sheetViews>
    <sheetView tabSelected="1" view="pageBreakPreview" zoomScale="55" zoomScaleNormal="85" zoomScaleSheetLayoutView="55" workbookViewId="0">
      <selection activeCell="K14" sqref="K14"/>
    </sheetView>
  </sheetViews>
  <sheetFormatPr defaultRowHeight="14.4" x14ac:dyDescent="0.3"/>
  <cols>
    <col min="3" max="3" width="56" customWidth="1"/>
    <col min="6" max="6" width="17.109375" customWidth="1"/>
  </cols>
  <sheetData>
    <row r="12" spans="3:6" ht="21" x14ac:dyDescent="0.4">
      <c r="C12" s="15"/>
    </row>
    <row r="13" spans="3:6" ht="21" x14ac:dyDescent="0.4">
      <c r="F13" s="17">
        <v>44673</v>
      </c>
    </row>
    <row r="14" spans="3:6" ht="25.2" x14ac:dyDescent="0.45">
      <c r="C14" s="151" t="s">
        <v>347</v>
      </c>
    </row>
    <row r="15" spans="3:6" ht="25.2" x14ac:dyDescent="0.3">
      <c r="C15" s="152" t="s">
        <v>348</v>
      </c>
    </row>
    <row r="16" spans="3:6" ht="21" x14ac:dyDescent="0.4">
      <c r="C16" s="16"/>
    </row>
    <row r="17" spans="3:3" ht="21" x14ac:dyDescent="0.4">
      <c r="C17" s="16"/>
    </row>
    <row r="19" spans="3:3" ht="21" x14ac:dyDescent="0.4">
      <c r="C19" s="15"/>
    </row>
    <row r="20" spans="3:3" ht="21" x14ac:dyDescent="0.4">
      <c r="C20" s="15"/>
    </row>
    <row r="21" spans="3:3" ht="21" x14ac:dyDescent="0.4">
      <c r="C21" s="15"/>
    </row>
    <row r="22" spans="3:3" ht="21" x14ac:dyDescent="0.4">
      <c r="C22" s="150"/>
    </row>
    <row r="23" spans="3:3" ht="23.4" x14ac:dyDescent="0.45">
      <c r="C23" s="149" t="s">
        <v>15</v>
      </c>
    </row>
    <row r="24" spans="3:3" ht="23.4" x14ac:dyDescent="0.45">
      <c r="C24" s="149" t="s">
        <v>16</v>
      </c>
    </row>
    <row r="25" spans="3:3" ht="21" x14ac:dyDescent="0.4">
      <c r="C25" s="15"/>
    </row>
    <row r="26" spans="3:3" ht="21" x14ac:dyDescent="0.4">
      <c r="C26" s="147" t="s">
        <v>349</v>
      </c>
    </row>
    <row r="27" spans="3:3" ht="21" x14ac:dyDescent="0.4">
      <c r="C27" s="147" t="s">
        <v>350</v>
      </c>
    </row>
    <row r="28" spans="3:3" ht="21" x14ac:dyDescent="0.4">
      <c r="C28" s="148">
        <v>1804011</v>
      </c>
    </row>
  </sheetData>
  <pageMargins left="0.7" right="0.7" top="0.75" bottom="0.75" header="0.3" footer="0.3"/>
  <pageSetup scale="7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view="pageBreakPreview" zoomScale="70" zoomScaleNormal="70" zoomScaleSheetLayoutView="70" workbookViewId="0">
      <selection activeCell="B28" sqref="B28"/>
    </sheetView>
  </sheetViews>
  <sheetFormatPr defaultRowHeight="14.4" x14ac:dyDescent="0.3"/>
  <cols>
    <col min="1" max="1" width="5" customWidth="1"/>
    <col min="2" max="2" width="38.6640625" customWidth="1"/>
    <col min="3" max="3" width="18.33203125" style="19" customWidth="1"/>
    <col min="4" max="4" width="14.44140625" customWidth="1"/>
    <col min="5" max="5" width="8.88671875" style="36"/>
    <col min="6" max="6" width="11.44140625" style="36" customWidth="1"/>
    <col min="7" max="7" width="18.33203125" style="19" customWidth="1"/>
    <col min="8" max="8" width="19.109375" style="19" customWidth="1"/>
    <col min="9" max="9" width="3.21875" customWidth="1"/>
    <col min="13" max="13" width="7.33203125" customWidth="1"/>
    <col min="14" max="14" width="14.109375" customWidth="1"/>
    <col min="17" max="17" width="13.109375" customWidth="1"/>
    <col min="18" max="18" width="12.33203125" customWidth="1"/>
  </cols>
  <sheetData>
    <row r="1" spans="1:9" ht="18.600000000000001" x14ac:dyDescent="0.45">
      <c r="A1" s="34" t="s">
        <v>126</v>
      </c>
      <c r="B1" s="35"/>
    </row>
    <row r="2" spans="1:9" ht="18.600000000000001" x14ac:dyDescent="0.45">
      <c r="A2" s="34" t="s">
        <v>304</v>
      </c>
      <c r="B2" s="35"/>
    </row>
    <row r="3" spans="1:9" ht="15" thickBot="1" x14ac:dyDescent="0.35"/>
    <row r="4" spans="1:9" ht="15" thickBot="1" x14ac:dyDescent="0.35">
      <c r="B4" s="37" t="s">
        <v>127</v>
      </c>
      <c r="C4" s="38">
        <f>'Take-off Quantities'!L7</f>
        <v>829.48680000000002</v>
      </c>
    </row>
    <row r="5" spans="1:9" ht="15" thickBot="1" x14ac:dyDescent="0.35"/>
    <row r="6" spans="1:9" s="40" customFormat="1" ht="49.2" customHeight="1" thickBot="1" x14ac:dyDescent="0.35">
      <c r="B6" s="41" t="s">
        <v>128</v>
      </c>
      <c r="C6" s="42" t="s">
        <v>432</v>
      </c>
      <c r="D6" s="43" t="s">
        <v>129</v>
      </c>
      <c r="E6" s="44" t="s">
        <v>130</v>
      </c>
      <c r="F6" s="44" t="s">
        <v>131</v>
      </c>
      <c r="G6" s="45" t="s">
        <v>433</v>
      </c>
      <c r="H6" s="45" t="s">
        <v>132</v>
      </c>
    </row>
    <row r="7" spans="1:9" s="39" customFormat="1" ht="19.5" customHeight="1" x14ac:dyDescent="0.3">
      <c r="B7" s="46" t="str">
        <f>'5. Excavate &amp; fill'!C8</f>
        <v>Bill No. 5: Excavating and filling</v>
      </c>
      <c r="C7" s="47">
        <f>'5. Excavate &amp; fill'!L49</f>
        <v>413098.68266000011</v>
      </c>
      <c r="D7" s="62">
        <f t="shared" ref="D7:D14" si="0">C7/$C$15</f>
        <v>0.58341961745040793</v>
      </c>
      <c r="E7" s="48">
        <f>'Index Factors'!H8</f>
        <v>1.0887096774193548</v>
      </c>
      <c r="F7" s="49">
        <f>'Index Factors'!H17</f>
        <v>0.86</v>
      </c>
      <c r="G7" s="115">
        <f>C7*E7*F7</f>
        <v>386780.29884537106</v>
      </c>
      <c r="H7" s="50">
        <f>G7/$C$4</f>
        <v>466.28867252061281</v>
      </c>
    </row>
    <row r="8" spans="1:9" s="39" customFormat="1" ht="19.5" customHeight="1" x14ac:dyDescent="0.3">
      <c r="B8" s="51" t="str">
        <f>'7. Piling'!C10</f>
        <v>Bill No. 7: Piling</v>
      </c>
      <c r="C8" s="52">
        <f>'7. Piling'!L93</f>
        <v>153165.13243</v>
      </c>
      <c r="D8" s="63">
        <f t="shared" si="0"/>
        <v>0.2163152455332297</v>
      </c>
      <c r="E8" s="53">
        <f>'Index Factors'!H8</f>
        <v>1.0887096774193548</v>
      </c>
      <c r="F8" s="54">
        <f>'Index Factors'!H17</f>
        <v>0.86</v>
      </c>
      <c r="G8" s="116">
        <f>C8*E8*F8</f>
        <v>143407.03125099192</v>
      </c>
      <c r="H8" s="55">
        <f t="shared" ref="H8:H14" si="1">G8/$C$4</f>
        <v>172.8864537096816</v>
      </c>
    </row>
    <row r="9" spans="1:9" s="39" customFormat="1" ht="19.5" customHeight="1" x14ac:dyDescent="0.3">
      <c r="B9" s="51" t="str">
        <f>'11. In-situ concrete'!C8</f>
        <v>Bill No. 11: In-situ concrete works</v>
      </c>
      <c r="C9" s="52">
        <f>'11. In-situ concrete'!L111</f>
        <v>81438.15955560001</v>
      </c>
      <c r="D9" s="63">
        <f t="shared" si="0"/>
        <v>0.11501518133113629</v>
      </c>
      <c r="E9" s="53">
        <f>'Index Factors'!H8</f>
        <v>1.0887096774193548</v>
      </c>
      <c r="F9" s="54">
        <f>'Index Factors'!H17</f>
        <v>0.86</v>
      </c>
      <c r="G9" s="116">
        <f t="shared" ref="G9:G13" si="2">C9*E9*F9</f>
        <v>76249.76068068677</v>
      </c>
      <c r="H9" s="55">
        <f t="shared" si="1"/>
        <v>91.92401938245041</v>
      </c>
    </row>
    <row r="10" spans="1:9" s="39" customFormat="1" ht="19.5" customHeight="1" x14ac:dyDescent="0.3">
      <c r="B10" s="51" t="str">
        <f>'14. Masonry'!C8</f>
        <v>Bill No. 14: Masonry</v>
      </c>
      <c r="C10" s="52">
        <f>'14. Masonry'!L24</f>
        <v>8164.6441919999997</v>
      </c>
      <c r="D10" s="63">
        <f t="shared" si="0"/>
        <v>1.1530933868980285E-2</v>
      </c>
      <c r="E10" s="53">
        <f>'Index Factors'!H8</f>
        <v>1.0887096774193548</v>
      </c>
      <c r="F10" s="54">
        <f>'Index Factors'!H17</f>
        <v>0.86</v>
      </c>
      <c r="G10" s="116">
        <f t="shared" si="2"/>
        <v>7644.4773442838705</v>
      </c>
      <c r="H10" s="55">
        <f t="shared" si="1"/>
        <v>9.21591198833287</v>
      </c>
    </row>
    <row r="11" spans="1:9" s="39" customFormat="1" ht="19.5" customHeight="1" x14ac:dyDescent="0.3">
      <c r="B11" s="51" t="str">
        <f>'28. Floor finishes'!C8</f>
        <v>Bill No. 28: Floor finishes</v>
      </c>
      <c r="C11" s="52">
        <f>'28. Floor finishes'!L20</f>
        <v>2743.1865200000002</v>
      </c>
      <c r="D11" s="63">
        <f t="shared" si="0"/>
        <v>3.8742046326270783E-3</v>
      </c>
      <c r="E11" s="53">
        <f>'Index Factors'!H8</f>
        <v>1.0887096774193548</v>
      </c>
      <c r="F11" s="54">
        <f>'Index Factors'!H17</f>
        <v>0.86</v>
      </c>
      <c r="G11" s="116">
        <f t="shared" si="2"/>
        <v>2568.4189917096774</v>
      </c>
      <c r="H11" s="55">
        <f t="shared" si="1"/>
        <v>3.0963952551260339</v>
      </c>
    </row>
    <row r="12" spans="1:9" s="39" customFormat="1" ht="19.5" customHeight="1" x14ac:dyDescent="0.3">
      <c r="B12" s="51" t="str">
        <f>'33. Drainage above ground'!C8</f>
        <v>Bill No. 33: Drainage above ground</v>
      </c>
      <c r="C12" s="52">
        <f>'33. Drainage above ground'!L35</f>
        <v>22891.641200000002</v>
      </c>
      <c r="D12" s="63">
        <f t="shared" si="0"/>
        <v>3.2329884147096533E-2</v>
      </c>
      <c r="E12" s="53">
        <f>'Index Factors'!H8</f>
        <v>1.0887096774193548</v>
      </c>
      <c r="F12" s="54">
        <f>'Index Factors'!H17</f>
        <v>0.86</v>
      </c>
      <c r="G12" s="116">
        <f t="shared" ref="G12" si="3">C12*E12*F12</f>
        <v>21433.222123548385</v>
      </c>
      <c r="H12" s="55">
        <f t="shared" ref="H12" si="4">G12/$C$4</f>
        <v>25.839135865149853</v>
      </c>
    </row>
    <row r="13" spans="1:9" s="39" customFormat="1" ht="19.5" customHeight="1" x14ac:dyDescent="0.3">
      <c r="B13" s="51" t="str">
        <f>'34. Drainage below ground'!C8</f>
        <v>Bill No. 34: Drainage below ground</v>
      </c>
      <c r="C13" s="52">
        <f>'34. Drainage below ground'!L48</f>
        <v>19501.259999999998</v>
      </c>
      <c r="D13" s="63">
        <f t="shared" si="0"/>
        <v>2.7541645922809919E-2</v>
      </c>
      <c r="E13" s="53">
        <f>'Index Factors'!H8</f>
        <v>1.0887096774193548</v>
      </c>
      <c r="F13" s="54">
        <f>'Index Factors'!H17</f>
        <v>0.86</v>
      </c>
      <c r="G13" s="116">
        <f t="shared" si="2"/>
        <v>18258.84101612903</v>
      </c>
      <c r="H13" s="55">
        <f t="shared" si="1"/>
        <v>22.012214077582705</v>
      </c>
    </row>
    <row r="14" spans="1:9" s="39" customFormat="1" ht="19.5" customHeight="1" thickBot="1" x14ac:dyDescent="0.35">
      <c r="B14" s="56" t="str">
        <f>'35. Site works'!C8</f>
        <v>Bill No. 35. Site works</v>
      </c>
      <c r="C14" s="57">
        <f>'35. Site works'!L43</f>
        <v>7061.7299200000052</v>
      </c>
      <c r="D14" s="64">
        <f t="shared" si="0"/>
        <v>9.9732871137122921E-3</v>
      </c>
      <c r="E14" s="113">
        <f>'Index Factors'!H8</f>
        <v>1.0887096774193548</v>
      </c>
      <c r="F14" s="58">
        <f>'Index Factors'!H17</f>
        <v>0.86</v>
      </c>
      <c r="G14" s="116">
        <f>C14*E14*F14</f>
        <v>6611.8293847741979</v>
      </c>
      <c r="H14" s="59">
        <f t="shared" si="1"/>
        <v>7.9709880672895554</v>
      </c>
    </row>
    <row r="15" spans="1:9" ht="15" thickBot="1" x14ac:dyDescent="0.35">
      <c r="C15" s="61">
        <f>SUM(C7:C14)</f>
        <v>708064.43647760013</v>
      </c>
      <c r="D15" s="112">
        <f>SUM(D7:D14)</f>
        <v>1.0000000000000002</v>
      </c>
      <c r="E15" s="60"/>
      <c r="F15" s="60"/>
      <c r="G15" s="114">
        <f>SUM(G7:G14)</f>
        <v>662953.87963749492</v>
      </c>
      <c r="H15" s="61">
        <f>SUM(H7:H14)</f>
        <v>799.23379086622583</v>
      </c>
      <c r="I15" s="24"/>
    </row>
  </sheetData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31"/>
  <sheetViews>
    <sheetView view="pageBreakPreview" zoomScale="70" zoomScaleNormal="70" zoomScaleSheetLayoutView="70" workbookViewId="0">
      <selection activeCell="J42" sqref="J42"/>
    </sheetView>
  </sheetViews>
  <sheetFormatPr defaultRowHeight="14.4" x14ac:dyDescent="0.3"/>
  <cols>
    <col min="1" max="2" width="2.77734375" customWidth="1"/>
    <col min="13" max="13" width="12.5546875" customWidth="1"/>
    <col min="14" max="14" width="5.77734375" customWidth="1"/>
    <col min="23" max="23" width="6" customWidth="1"/>
  </cols>
  <sheetData>
    <row r="2" spans="2:23" ht="15.6" x14ac:dyDescent="0.3">
      <c r="B2" s="159" t="s">
        <v>378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59" t="s">
        <v>354</v>
      </c>
    </row>
    <row r="4" spans="2:23" x14ac:dyDescent="0.3">
      <c r="B4" s="154">
        <v>1</v>
      </c>
      <c r="C4" t="s">
        <v>357</v>
      </c>
      <c r="N4" s="156">
        <v>1</v>
      </c>
      <c r="O4" s="92" t="s">
        <v>200</v>
      </c>
      <c r="P4" s="92"/>
      <c r="Q4" s="92"/>
      <c r="R4" s="127"/>
      <c r="S4" s="127"/>
      <c r="T4" s="127" t="s">
        <v>219</v>
      </c>
      <c r="U4" s="127"/>
      <c r="V4" s="127"/>
      <c r="W4" s="127"/>
    </row>
    <row r="5" spans="2:23" x14ac:dyDescent="0.3">
      <c r="C5" t="s">
        <v>358</v>
      </c>
      <c r="N5" s="154"/>
      <c r="O5" s="92" t="s">
        <v>201</v>
      </c>
      <c r="P5" s="92"/>
      <c r="Q5" s="92"/>
      <c r="T5" s="127"/>
      <c r="U5" s="127"/>
      <c r="V5" s="127"/>
      <c r="W5" s="127"/>
    </row>
    <row r="6" spans="2:23" x14ac:dyDescent="0.3">
      <c r="C6" t="s">
        <v>325</v>
      </c>
      <c r="N6" s="154"/>
      <c r="O6" s="92" t="s">
        <v>202</v>
      </c>
      <c r="P6" s="92"/>
      <c r="Q6" s="92"/>
      <c r="T6" s="127"/>
      <c r="U6" s="127"/>
      <c r="V6" s="127"/>
      <c r="W6" s="127"/>
    </row>
    <row r="7" spans="2:23" x14ac:dyDescent="0.3">
      <c r="C7" s="128" t="s">
        <v>326</v>
      </c>
      <c r="N7" s="154"/>
      <c r="O7" s="92" t="s">
        <v>203</v>
      </c>
      <c r="P7" s="92"/>
      <c r="Q7" s="92"/>
      <c r="T7" s="127"/>
      <c r="U7" s="127"/>
      <c r="V7" s="127"/>
      <c r="W7" s="127"/>
    </row>
    <row r="8" spans="2:23" x14ac:dyDescent="0.3">
      <c r="N8" s="154"/>
      <c r="O8" s="92" t="s">
        <v>204</v>
      </c>
      <c r="P8" s="92"/>
      <c r="Q8" s="92"/>
      <c r="T8" s="127"/>
      <c r="U8" s="127"/>
      <c r="V8" s="127"/>
      <c r="W8" s="127"/>
    </row>
    <row r="9" spans="2:23" x14ac:dyDescent="0.3">
      <c r="B9" s="154">
        <v>2</v>
      </c>
      <c r="C9" t="s">
        <v>328</v>
      </c>
      <c r="N9" s="154"/>
      <c r="T9" s="127"/>
      <c r="U9" s="127"/>
      <c r="V9" s="127"/>
      <c r="W9" s="127"/>
    </row>
    <row r="10" spans="2:23" x14ac:dyDescent="0.3">
      <c r="C10" s="129" t="s">
        <v>332</v>
      </c>
      <c r="N10" s="157">
        <v>2</v>
      </c>
      <c r="O10" s="153" t="s">
        <v>205</v>
      </c>
      <c r="P10" s="125"/>
      <c r="Q10" s="125"/>
      <c r="R10" s="125"/>
      <c r="S10" s="125"/>
      <c r="T10" s="127"/>
      <c r="U10" s="127"/>
      <c r="V10" s="127"/>
      <c r="W10" s="127"/>
    </row>
    <row r="11" spans="2:23" x14ac:dyDescent="0.3">
      <c r="C11" s="130" t="s">
        <v>327</v>
      </c>
      <c r="N11" s="154"/>
      <c r="O11" s="125" t="s">
        <v>206</v>
      </c>
      <c r="P11" s="125"/>
      <c r="Q11" s="125"/>
      <c r="R11" s="125"/>
      <c r="S11" s="125"/>
      <c r="T11" s="127"/>
      <c r="U11" s="127"/>
      <c r="V11" s="127"/>
      <c r="W11" s="127"/>
    </row>
    <row r="12" spans="2:23" x14ac:dyDescent="0.3">
      <c r="C12" s="130" t="s">
        <v>333</v>
      </c>
      <c r="N12" s="154"/>
      <c r="O12" s="125" t="s">
        <v>207</v>
      </c>
      <c r="P12" s="125"/>
      <c r="Q12" s="125"/>
      <c r="R12" s="125"/>
      <c r="S12" s="125"/>
      <c r="T12" s="127"/>
      <c r="U12" s="127"/>
      <c r="V12" s="127"/>
      <c r="W12" s="127"/>
    </row>
    <row r="13" spans="2:23" x14ac:dyDescent="0.3">
      <c r="N13" s="154"/>
      <c r="O13" s="125" t="s">
        <v>208</v>
      </c>
      <c r="P13" s="125"/>
      <c r="Q13" s="125"/>
      <c r="R13" s="125"/>
      <c r="S13" s="125"/>
      <c r="T13" s="127"/>
      <c r="U13" s="127"/>
      <c r="V13" s="127"/>
      <c r="W13" s="127"/>
    </row>
    <row r="14" spans="2:23" x14ac:dyDescent="0.3">
      <c r="B14" s="154">
        <v>3</v>
      </c>
      <c r="C14" t="s">
        <v>329</v>
      </c>
      <c r="N14" s="154"/>
      <c r="O14" s="125" t="s">
        <v>209</v>
      </c>
      <c r="P14" s="125"/>
      <c r="Q14" s="125"/>
      <c r="R14" s="125"/>
      <c r="S14" s="125"/>
      <c r="T14" s="127"/>
      <c r="U14" s="127"/>
      <c r="V14" s="127"/>
      <c r="W14" s="127"/>
    </row>
    <row r="15" spans="2:23" x14ac:dyDescent="0.3">
      <c r="C15" s="131" t="s">
        <v>330</v>
      </c>
      <c r="N15" s="154"/>
      <c r="O15" s="125" t="s">
        <v>210</v>
      </c>
      <c r="P15" s="125"/>
      <c r="Q15" s="125"/>
      <c r="R15" s="125"/>
      <c r="S15" s="125"/>
      <c r="T15" s="127"/>
      <c r="U15" s="127"/>
      <c r="V15" s="127"/>
      <c r="W15" s="127"/>
    </row>
    <row r="16" spans="2:23" x14ac:dyDescent="0.3">
      <c r="C16" s="130" t="s">
        <v>331</v>
      </c>
      <c r="N16" s="154"/>
      <c r="T16" s="127"/>
      <c r="U16" s="127"/>
      <c r="V16" s="127"/>
      <c r="W16" s="127"/>
    </row>
    <row r="17" spans="2:23" x14ac:dyDescent="0.3">
      <c r="N17" s="158">
        <v>3</v>
      </c>
      <c r="O17" s="91" t="s">
        <v>211</v>
      </c>
      <c r="P17" s="91"/>
      <c r="Q17" s="91"/>
      <c r="R17" s="91"/>
      <c r="S17" s="91"/>
      <c r="T17" s="127">
        <v>1500</v>
      </c>
      <c r="U17" s="127" t="s">
        <v>218</v>
      </c>
      <c r="V17" s="127">
        <f>2400-950</f>
        <v>1450</v>
      </c>
      <c r="W17" s="127"/>
    </row>
    <row r="18" spans="2:23" x14ac:dyDescent="0.3">
      <c r="B18" s="154">
        <v>4</v>
      </c>
      <c r="C18" t="s">
        <v>336</v>
      </c>
      <c r="N18" s="154"/>
      <c r="O18" s="91" t="s">
        <v>212</v>
      </c>
      <c r="P18" s="91"/>
      <c r="Q18" s="91"/>
      <c r="R18" s="91"/>
      <c r="S18" s="91"/>
      <c r="T18" s="127"/>
      <c r="U18" s="127"/>
      <c r="V18" s="127"/>
      <c r="W18" s="127"/>
    </row>
    <row r="19" spans="2:23" x14ac:dyDescent="0.3">
      <c r="C19" t="s">
        <v>338</v>
      </c>
      <c r="N19" s="154"/>
      <c r="O19" s="91" t="s">
        <v>213</v>
      </c>
      <c r="P19" s="91"/>
      <c r="Q19" s="91"/>
      <c r="R19" s="91"/>
      <c r="S19" s="91"/>
      <c r="T19" s="127"/>
      <c r="U19" s="127"/>
      <c r="V19" s="127"/>
      <c r="W19" s="127"/>
    </row>
    <row r="20" spans="2:23" x14ac:dyDescent="0.3">
      <c r="N20" s="154"/>
      <c r="O20" s="91" t="s">
        <v>214</v>
      </c>
      <c r="P20" s="91"/>
      <c r="Q20" s="91"/>
      <c r="R20" s="91"/>
      <c r="S20" s="91"/>
    </row>
    <row r="21" spans="2:23" x14ac:dyDescent="0.3">
      <c r="B21" s="154">
        <v>5</v>
      </c>
      <c r="C21" t="s">
        <v>337</v>
      </c>
      <c r="O21" s="91" t="s">
        <v>215</v>
      </c>
      <c r="P21" s="91"/>
      <c r="Q21" s="91"/>
      <c r="R21" s="91"/>
      <c r="S21" s="91"/>
    </row>
    <row r="22" spans="2:23" x14ac:dyDescent="0.3">
      <c r="C22" t="s">
        <v>338</v>
      </c>
      <c r="O22" s="91" t="s">
        <v>216</v>
      </c>
      <c r="P22" s="91"/>
      <c r="Q22" s="91"/>
      <c r="R22" s="91"/>
      <c r="S22" s="91"/>
    </row>
    <row r="23" spans="2:23" x14ac:dyDescent="0.3">
      <c r="O23" s="91" t="s">
        <v>217</v>
      </c>
      <c r="P23" s="91"/>
      <c r="Q23" s="91"/>
      <c r="R23" s="91"/>
      <c r="S23" s="91"/>
    </row>
    <row r="24" spans="2:23" x14ac:dyDescent="0.3">
      <c r="B24" s="154">
        <v>6</v>
      </c>
      <c r="C24" t="s">
        <v>351</v>
      </c>
    </row>
    <row r="25" spans="2:23" x14ac:dyDescent="0.3">
      <c r="C25" t="s">
        <v>352</v>
      </c>
      <c r="N25" s="155">
        <v>4</v>
      </c>
      <c r="O25" s="126" t="s">
        <v>240</v>
      </c>
      <c r="P25" s="126"/>
      <c r="Q25" s="126"/>
    </row>
    <row r="26" spans="2:23" x14ac:dyDescent="0.3">
      <c r="C26" t="s">
        <v>353</v>
      </c>
      <c r="O26" s="126" t="s">
        <v>241</v>
      </c>
      <c r="P26" s="126"/>
      <c r="Q26" s="126"/>
    </row>
    <row r="27" spans="2:23" x14ac:dyDescent="0.3">
      <c r="O27" s="126" t="s">
        <v>242</v>
      </c>
      <c r="P27" s="126"/>
      <c r="Q27" s="126"/>
    </row>
    <row r="28" spans="2:23" x14ac:dyDescent="0.3">
      <c r="B28" s="154">
        <v>7</v>
      </c>
      <c r="C28" t="s">
        <v>355</v>
      </c>
      <c r="O28" s="126" t="s">
        <v>243</v>
      </c>
      <c r="P28" s="126"/>
      <c r="Q28" s="126"/>
    </row>
    <row r="29" spans="2:23" x14ac:dyDescent="0.3">
      <c r="C29" t="s">
        <v>356</v>
      </c>
    </row>
    <row r="30" spans="2:23" x14ac:dyDescent="0.3">
      <c r="O30" s="127"/>
      <c r="P30" s="127"/>
      <c r="Q30" s="127"/>
      <c r="R30" s="127"/>
      <c r="S30" s="127"/>
      <c r="T30" s="127"/>
    </row>
    <row r="31" spans="2:23" x14ac:dyDescent="0.3">
      <c r="O31" s="127"/>
      <c r="P31" s="127"/>
      <c r="Q31" s="127"/>
      <c r="R31" s="127"/>
      <c r="S31" s="127"/>
      <c r="T31" s="127"/>
    </row>
  </sheetData>
  <pageMargins left="0.7" right="0.7" top="0.75" bottom="0.75" header="0.3" footer="0.3"/>
  <pageSetup scale="84" orientation="portrait" r:id="rId1"/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="85" zoomScaleNormal="85" zoomScaleSheetLayoutView="85" zoomScalePageLayoutView="70" workbookViewId="0">
      <selection activeCell="F4" sqref="F4"/>
    </sheetView>
  </sheetViews>
  <sheetFormatPr defaultRowHeight="14.4" x14ac:dyDescent="0.3"/>
  <cols>
    <col min="1" max="1" width="4" customWidth="1"/>
    <col min="3" max="3" width="39.33203125" customWidth="1"/>
    <col min="4" max="4" width="15.5546875" customWidth="1"/>
    <col min="5" max="5" width="21.6640625" customWidth="1"/>
    <col min="6" max="6" width="15.5546875" customWidth="1"/>
  </cols>
  <sheetData>
    <row r="1" spans="1:7" ht="18.600000000000001" x14ac:dyDescent="0.45">
      <c r="A1" s="35" t="s">
        <v>133</v>
      </c>
      <c r="B1" s="73"/>
      <c r="C1" s="74"/>
      <c r="D1" s="75"/>
      <c r="E1" s="73"/>
      <c r="F1" s="73"/>
      <c r="G1" s="73"/>
    </row>
    <row r="2" spans="1:7" ht="18.600000000000001" x14ac:dyDescent="0.45">
      <c r="A2" s="35" t="s">
        <v>304</v>
      </c>
      <c r="B2" s="73"/>
      <c r="C2" s="74"/>
      <c r="D2" s="75"/>
      <c r="E2" s="73"/>
      <c r="F2" s="73"/>
      <c r="G2" s="73"/>
    </row>
    <row r="3" spans="1:7" x14ac:dyDescent="0.3">
      <c r="A3" s="76"/>
      <c r="B3" s="77"/>
      <c r="C3" s="78"/>
      <c r="D3" s="79"/>
      <c r="E3" s="77"/>
      <c r="F3" s="77"/>
      <c r="G3" s="77"/>
    </row>
    <row r="7" spans="1:7" ht="21" x14ac:dyDescent="0.4">
      <c r="B7" s="124" t="s">
        <v>324</v>
      </c>
    </row>
    <row r="9" spans="1:7" x14ac:dyDescent="0.3">
      <c r="C9" s="121" t="s">
        <v>308</v>
      </c>
      <c r="D9" s="122" t="s">
        <v>246</v>
      </c>
      <c r="E9" s="182" t="s">
        <v>309</v>
      </c>
      <c r="F9" s="121" t="s">
        <v>312</v>
      </c>
    </row>
    <row r="10" spans="1:7" x14ac:dyDescent="0.3">
      <c r="C10" s="1" t="s">
        <v>306</v>
      </c>
      <c r="D10" s="185">
        <v>180</v>
      </c>
      <c r="E10" s="183" t="s">
        <v>307</v>
      </c>
      <c r="F10" s="189">
        <v>16109</v>
      </c>
    </row>
    <row r="11" spans="1:7" x14ac:dyDescent="0.3">
      <c r="C11" s="4" t="s">
        <v>310</v>
      </c>
      <c r="D11" s="186">
        <v>181</v>
      </c>
      <c r="E11" s="99" t="s">
        <v>311</v>
      </c>
      <c r="F11" s="10">
        <v>16109</v>
      </c>
    </row>
    <row r="12" spans="1:7" x14ac:dyDescent="0.3">
      <c r="C12" s="4" t="s">
        <v>313</v>
      </c>
      <c r="D12" s="186">
        <v>182</v>
      </c>
      <c r="E12" s="99" t="s">
        <v>314</v>
      </c>
      <c r="F12" s="10">
        <v>16109</v>
      </c>
    </row>
    <row r="13" spans="1:7" x14ac:dyDescent="0.3">
      <c r="C13" s="4" t="s">
        <v>315</v>
      </c>
      <c r="D13" s="187">
        <v>183</v>
      </c>
      <c r="E13" s="123" t="s">
        <v>316</v>
      </c>
      <c r="F13" s="10">
        <v>16109</v>
      </c>
    </row>
    <row r="14" spans="1:7" x14ac:dyDescent="0.3">
      <c r="C14" s="4" t="s">
        <v>317</v>
      </c>
      <c r="D14" s="187">
        <v>280</v>
      </c>
      <c r="E14" s="123" t="s">
        <v>318</v>
      </c>
      <c r="F14" s="10">
        <v>16109</v>
      </c>
    </row>
    <row r="15" spans="1:7" x14ac:dyDescent="0.3">
      <c r="C15" s="4" t="s">
        <v>319</v>
      </c>
      <c r="D15" s="187">
        <v>286</v>
      </c>
      <c r="E15" s="123" t="s">
        <v>318</v>
      </c>
      <c r="F15" s="10">
        <v>16109</v>
      </c>
    </row>
    <row r="16" spans="1:7" x14ac:dyDescent="0.3">
      <c r="C16" s="4" t="s">
        <v>320</v>
      </c>
      <c r="D16" s="187">
        <v>290</v>
      </c>
      <c r="E16" s="123" t="s">
        <v>321</v>
      </c>
      <c r="F16" s="10">
        <v>16109</v>
      </c>
    </row>
    <row r="17" spans="3:6" x14ac:dyDescent="0.3">
      <c r="C17" s="7" t="s">
        <v>322</v>
      </c>
      <c r="D17" s="188">
        <v>291</v>
      </c>
      <c r="E17" s="184" t="s">
        <v>323</v>
      </c>
      <c r="F17" s="190">
        <v>16109</v>
      </c>
    </row>
  </sheetData>
  <pageMargins left="0.7" right="0.7" top="0.75" bottom="0.75" header="0.3" footer="0.3"/>
  <pageSetup paperSize="9" scale="7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49"/>
  <sheetViews>
    <sheetView topLeftCell="A4" zoomScale="55" zoomScaleNormal="55" workbookViewId="0">
      <selection activeCell="Q30" sqref="Q30"/>
    </sheetView>
  </sheetViews>
  <sheetFormatPr defaultRowHeight="14.4" x14ac:dyDescent="0.3"/>
  <cols>
    <col min="1" max="1" width="3" customWidth="1"/>
    <col min="8" max="8" width="15.6640625" customWidth="1"/>
    <col min="10" max="10" width="12.44140625" style="36" customWidth="1"/>
    <col min="12" max="12" width="18.44140625" customWidth="1"/>
  </cols>
  <sheetData>
    <row r="3" spans="2:12" x14ac:dyDescent="0.3">
      <c r="B3" s="130" t="s">
        <v>0</v>
      </c>
    </row>
    <row r="5" spans="2:12" x14ac:dyDescent="0.3">
      <c r="B5" s="172" t="s">
        <v>405</v>
      </c>
      <c r="C5" s="173"/>
      <c r="D5" s="173"/>
      <c r="E5" s="173"/>
      <c r="F5" s="173"/>
      <c r="G5" s="173"/>
      <c r="H5" s="173"/>
      <c r="I5" s="173"/>
      <c r="J5" s="173"/>
      <c r="K5" s="173"/>
      <c r="L5" s="174"/>
    </row>
    <row r="6" spans="2:12" x14ac:dyDescent="0.3">
      <c r="B6" s="169" t="s">
        <v>1</v>
      </c>
      <c r="C6" s="169" t="s">
        <v>2</v>
      </c>
      <c r="D6" s="169"/>
      <c r="E6" s="169"/>
      <c r="F6" s="169"/>
      <c r="G6" s="169"/>
      <c r="H6" s="169"/>
      <c r="I6" s="169" t="s">
        <v>3</v>
      </c>
      <c r="J6" s="170" t="s">
        <v>4</v>
      </c>
      <c r="K6" s="171" t="s">
        <v>5</v>
      </c>
      <c r="L6" s="169" t="s">
        <v>6</v>
      </c>
    </row>
    <row r="7" spans="2:12" x14ac:dyDescent="0.3">
      <c r="B7" s="169"/>
      <c r="C7" s="169"/>
      <c r="D7" s="169"/>
      <c r="E7" s="169"/>
      <c r="F7" s="169"/>
      <c r="G7" s="169"/>
      <c r="H7" s="169"/>
      <c r="I7" s="169"/>
      <c r="J7" s="170"/>
      <c r="K7" s="171"/>
      <c r="L7" s="169"/>
    </row>
    <row r="8" spans="2:12" x14ac:dyDescent="0.3">
      <c r="B8" s="13"/>
      <c r="C8" s="11" t="s">
        <v>7</v>
      </c>
      <c r="D8" s="5"/>
      <c r="E8" s="5"/>
      <c r="F8" s="5"/>
      <c r="G8" s="5"/>
      <c r="H8" s="6"/>
      <c r="I8" s="5"/>
      <c r="J8" s="93"/>
      <c r="K8" s="18"/>
      <c r="L8" s="6"/>
    </row>
    <row r="9" spans="2:12" x14ac:dyDescent="0.3">
      <c r="B9" s="13"/>
      <c r="C9" s="4"/>
      <c r="D9" s="5"/>
      <c r="E9" s="5"/>
      <c r="F9" s="5"/>
      <c r="G9" s="5"/>
      <c r="H9" s="6"/>
      <c r="I9" s="5"/>
      <c r="J9" s="93"/>
      <c r="K9" s="18"/>
      <c r="L9" s="6"/>
    </row>
    <row r="10" spans="2:12" x14ac:dyDescent="0.3">
      <c r="B10" s="13"/>
      <c r="C10" s="11" t="s">
        <v>252</v>
      </c>
      <c r="D10" s="5"/>
      <c r="E10" s="5"/>
      <c r="F10" s="5"/>
      <c r="G10" s="5"/>
      <c r="H10" s="6"/>
      <c r="I10" s="5"/>
      <c r="J10" s="93"/>
      <c r="K10" s="18"/>
      <c r="L10" s="6"/>
    </row>
    <row r="11" spans="2:12" x14ac:dyDescent="0.3">
      <c r="B11" s="13" t="s">
        <v>251</v>
      </c>
      <c r="C11" s="4" t="s">
        <v>160</v>
      </c>
      <c r="D11" s="5"/>
      <c r="E11" s="5"/>
      <c r="F11" s="5"/>
      <c r="G11" s="5"/>
      <c r="H11" s="6"/>
      <c r="I11" s="5"/>
      <c r="J11" s="93"/>
      <c r="K11" s="18"/>
      <c r="L11" s="6"/>
    </row>
    <row r="12" spans="2:12" x14ac:dyDescent="0.3">
      <c r="B12" s="13"/>
      <c r="C12" s="4" t="s">
        <v>161</v>
      </c>
      <c r="D12" s="5"/>
      <c r="E12" s="5"/>
      <c r="F12" s="5"/>
      <c r="G12" s="5"/>
      <c r="H12" s="6"/>
      <c r="I12" s="5"/>
      <c r="J12" s="93"/>
      <c r="K12" s="18"/>
      <c r="L12" s="6"/>
    </row>
    <row r="13" spans="2:12" x14ac:dyDescent="0.3">
      <c r="B13" s="13"/>
      <c r="C13" s="4" t="s">
        <v>162</v>
      </c>
      <c r="D13" s="5"/>
      <c r="E13" s="5"/>
      <c r="F13" s="5"/>
      <c r="G13" s="5"/>
      <c r="H13" s="6"/>
      <c r="I13" s="5" t="s">
        <v>10</v>
      </c>
      <c r="J13" s="93">
        <f>'Take-off Quantities'!L9</f>
        <v>956.22280000000012</v>
      </c>
      <c r="K13" s="18">
        <v>7.96</v>
      </c>
      <c r="L13" s="23">
        <f>J13*K13</f>
        <v>7611.5334880000009</v>
      </c>
    </row>
    <row r="14" spans="2:12" x14ac:dyDescent="0.3">
      <c r="B14" s="13"/>
      <c r="C14" s="4"/>
      <c r="D14" s="5"/>
      <c r="E14" s="5"/>
      <c r="F14" s="5"/>
      <c r="G14" s="5"/>
      <c r="H14" s="6"/>
      <c r="I14" s="5"/>
      <c r="J14" s="93"/>
      <c r="K14" s="18"/>
      <c r="L14" s="6"/>
    </row>
    <row r="15" spans="2:12" x14ac:dyDescent="0.3">
      <c r="B15" s="13"/>
      <c r="C15" s="4"/>
      <c r="D15" s="5"/>
      <c r="E15" s="5"/>
      <c r="F15" s="5"/>
      <c r="G15" s="5"/>
      <c r="H15" s="6"/>
      <c r="I15" s="5"/>
      <c r="J15" s="93"/>
      <c r="K15" s="18"/>
      <c r="L15" s="6"/>
    </row>
    <row r="16" spans="2:12" x14ac:dyDescent="0.3">
      <c r="B16" s="13"/>
      <c r="C16" s="4"/>
      <c r="D16" s="5"/>
      <c r="E16" s="5"/>
      <c r="F16" s="5"/>
      <c r="G16" s="5"/>
      <c r="H16" s="6"/>
      <c r="I16" s="5"/>
      <c r="J16" s="93"/>
      <c r="K16" s="18"/>
      <c r="L16" s="6"/>
    </row>
    <row r="17" spans="2:12" x14ac:dyDescent="0.3">
      <c r="C17" s="11" t="s">
        <v>159</v>
      </c>
      <c r="D17" s="5"/>
      <c r="E17" s="5"/>
      <c r="F17" s="5"/>
      <c r="G17" s="5"/>
      <c r="H17" s="6"/>
      <c r="I17" s="5"/>
      <c r="J17" s="93"/>
      <c r="K17" s="18"/>
      <c r="L17" s="6"/>
    </row>
    <row r="18" spans="2:12" x14ac:dyDescent="0.3">
      <c r="B18" s="13" t="s">
        <v>249</v>
      </c>
      <c r="C18" s="4" t="s">
        <v>147</v>
      </c>
      <c r="D18" s="5"/>
      <c r="E18" s="5"/>
      <c r="F18" s="5"/>
      <c r="G18" s="5"/>
      <c r="H18" s="6"/>
      <c r="I18" s="5"/>
      <c r="J18" s="93"/>
      <c r="K18" s="18"/>
      <c r="L18" s="6"/>
    </row>
    <row r="19" spans="2:12" x14ac:dyDescent="0.3">
      <c r="B19" s="13"/>
      <c r="C19" s="4" t="s">
        <v>148</v>
      </c>
      <c r="D19" s="5"/>
      <c r="E19" s="5"/>
      <c r="F19" s="5"/>
      <c r="G19" s="5"/>
      <c r="H19" s="6"/>
      <c r="I19" s="5" t="s">
        <v>10</v>
      </c>
      <c r="J19" s="93">
        <f>J13*2</f>
        <v>1912.4456000000002</v>
      </c>
      <c r="K19" s="18">
        <v>5.89</v>
      </c>
      <c r="L19" s="23">
        <f>J19*K19</f>
        <v>11264.304584000001</v>
      </c>
    </row>
    <row r="20" spans="2:12" x14ac:dyDescent="0.3">
      <c r="B20" s="13" t="s">
        <v>250</v>
      </c>
      <c r="C20" s="4" t="s">
        <v>149</v>
      </c>
      <c r="D20" s="5"/>
      <c r="E20" s="5"/>
      <c r="F20" s="5"/>
      <c r="G20" s="5"/>
      <c r="H20" s="6"/>
      <c r="I20" s="5"/>
      <c r="J20" s="93"/>
      <c r="K20" s="18"/>
      <c r="L20" s="6"/>
    </row>
    <row r="21" spans="2:12" x14ac:dyDescent="0.3">
      <c r="B21" s="13"/>
      <c r="C21" s="4" t="s">
        <v>150</v>
      </c>
      <c r="D21" s="5" t="s">
        <v>151</v>
      </c>
      <c r="E21" s="5"/>
      <c r="F21" s="5"/>
      <c r="G21" s="5"/>
      <c r="H21" s="6"/>
      <c r="I21" s="5" t="s">
        <v>10</v>
      </c>
      <c r="J21" s="93">
        <f>J13*2</f>
        <v>1912.4456000000002</v>
      </c>
      <c r="K21" s="18">
        <v>160.53</v>
      </c>
      <c r="L21" s="23">
        <f>J21*K21</f>
        <v>307004.89216800005</v>
      </c>
    </row>
    <row r="22" spans="2:12" x14ac:dyDescent="0.3">
      <c r="B22" s="13"/>
      <c r="C22" s="4"/>
      <c r="D22" s="5"/>
      <c r="E22" s="5"/>
      <c r="F22" s="5"/>
      <c r="G22" s="5"/>
      <c r="H22" s="6"/>
      <c r="I22" s="5"/>
      <c r="J22" s="93"/>
      <c r="K22" s="18"/>
      <c r="L22" s="6"/>
    </row>
    <row r="23" spans="2:12" x14ac:dyDescent="0.3">
      <c r="B23" s="13"/>
      <c r="C23" s="4" t="s">
        <v>238</v>
      </c>
      <c r="D23" s="5"/>
      <c r="E23" s="5"/>
      <c r="F23" s="5"/>
      <c r="G23" s="5"/>
      <c r="H23" s="6"/>
      <c r="I23" s="5"/>
      <c r="J23" s="93"/>
      <c r="K23" s="18"/>
      <c r="L23" s="6"/>
    </row>
    <row r="24" spans="2:12" x14ac:dyDescent="0.3">
      <c r="B24" s="13"/>
      <c r="C24" s="4" t="s">
        <v>239</v>
      </c>
      <c r="D24" s="5"/>
      <c r="E24" s="5"/>
      <c r="F24" s="5"/>
      <c r="G24" s="5"/>
      <c r="H24" s="6"/>
      <c r="I24" s="5"/>
      <c r="J24" s="93"/>
      <c r="K24" s="18"/>
      <c r="L24" s="6"/>
    </row>
    <row r="25" spans="2:12" x14ac:dyDescent="0.3">
      <c r="B25" s="13"/>
      <c r="C25" s="4"/>
      <c r="D25" s="5"/>
      <c r="E25" s="5"/>
      <c r="F25" s="5"/>
      <c r="G25" s="5"/>
      <c r="H25" s="6"/>
      <c r="I25" s="5"/>
      <c r="J25" s="93"/>
      <c r="K25" s="18"/>
      <c r="L25" s="6"/>
    </row>
    <row r="26" spans="2:12" x14ac:dyDescent="0.3">
      <c r="B26" s="13">
        <v>5.12</v>
      </c>
      <c r="C26" s="11" t="s">
        <v>253</v>
      </c>
      <c r="D26" s="5"/>
      <c r="E26" s="5"/>
      <c r="F26" s="5"/>
      <c r="G26" s="5"/>
      <c r="H26" s="6"/>
      <c r="I26" s="5"/>
      <c r="J26" s="93"/>
      <c r="K26" s="18"/>
      <c r="L26" s="6"/>
    </row>
    <row r="27" spans="2:12" x14ac:dyDescent="0.3">
      <c r="B27" s="13"/>
      <c r="C27" s="4" t="s">
        <v>343</v>
      </c>
      <c r="D27" s="5"/>
      <c r="E27" s="5"/>
      <c r="F27" s="5"/>
      <c r="G27" s="5"/>
      <c r="H27" s="6"/>
      <c r="I27" s="5"/>
      <c r="J27" s="93"/>
      <c r="K27" s="18"/>
      <c r="L27" s="6"/>
    </row>
    <row r="28" spans="2:12" x14ac:dyDescent="0.3">
      <c r="B28" s="13"/>
      <c r="C28" s="4" t="s">
        <v>344</v>
      </c>
      <c r="D28" s="5"/>
      <c r="E28" s="5"/>
      <c r="F28" s="5"/>
      <c r="G28" s="5"/>
      <c r="H28" s="6"/>
      <c r="I28" s="5"/>
      <c r="J28" s="93"/>
      <c r="K28" s="18"/>
      <c r="L28" s="6"/>
    </row>
    <row r="29" spans="2:12" x14ac:dyDescent="0.3">
      <c r="B29" s="13"/>
      <c r="C29" s="4" t="s">
        <v>345</v>
      </c>
      <c r="D29" s="5"/>
      <c r="E29" s="5"/>
      <c r="F29" s="5"/>
      <c r="G29" s="5"/>
      <c r="H29" s="6"/>
      <c r="I29" s="5"/>
      <c r="J29" s="93"/>
      <c r="K29" s="18"/>
      <c r="L29" s="23"/>
    </row>
    <row r="30" spans="2:12" x14ac:dyDescent="0.3">
      <c r="B30" s="13"/>
      <c r="C30" s="146" t="s">
        <v>346</v>
      </c>
      <c r="D30" s="5"/>
      <c r="E30" s="5"/>
      <c r="F30" s="5"/>
      <c r="G30" s="5"/>
      <c r="H30" s="6"/>
      <c r="I30" s="5" t="s">
        <v>9</v>
      </c>
      <c r="J30" s="93">
        <f>'Take-off Quantities'!L9*2</f>
        <v>1912.4456000000002</v>
      </c>
      <c r="K30" s="18">
        <v>39.96</v>
      </c>
      <c r="L30" s="23">
        <f>J30*K30</f>
        <v>76421.326176000017</v>
      </c>
    </row>
    <row r="31" spans="2:12" x14ac:dyDescent="0.3">
      <c r="B31" s="13"/>
      <c r="C31" s="4"/>
      <c r="D31" s="5"/>
      <c r="E31" s="5"/>
      <c r="F31" s="5"/>
      <c r="G31" s="5"/>
      <c r="H31" s="6"/>
      <c r="I31" s="5"/>
      <c r="J31" s="93"/>
      <c r="K31" s="18"/>
      <c r="L31" s="6"/>
    </row>
    <row r="32" spans="2:12" x14ac:dyDescent="0.3">
      <c r="B32" s="13">
        <v>5.13</v>
      </c>
      <c r="C32" s="11" t="s">
        <v>152</v>
      </c>
      <c r="D32" s="5"/>
      <c r="E32" s="5"/>
      <c r="F32" s="5"/>
      <c r="G32" s="5"/>
      <c r="H32" s="6"/>
      <c r="I32" s="5"/>
      <c r="J32" s="93"/>
      <c r="K32" s="18"/>
      <c r="L32" s="6"/>
    </row>
    <row r="33" spans="2:12" x14ac:dyDescent="0.3">
      <c r="B33" s="13"/>
      <c r="C33" s="4" t="s">
        <v>153</v>
      </c>
      <c r="D33" s="5"/>
      <c r="E33" s="5"/>
      <c r="F33" s="5"/>
      <c r="G33" s="5"/>
      <c r="H33" s="6"/>
      <c r="I33" s="5"/>
      <c r="J33" s="93"/>
      <c r="K33" s="18"/>
      <c r="L33" s="6"/>
    </row>
    <row r="34" spans="2:12" x14ac:dyDescent="0.3">
      <c r="B34" s="13"/>
      <c r="C34" s="4" t="s">
        <v>154</v>
      </c>
      <c r="D34" s="5"/>
      <c r="E34" s="5"/>
      <c r="F34" s="5"/>
      <c r="G34" s="5"/>
      <c r="H34" s="6"/>
      <c r="I34" s="5"/>
      <c r="J34" s="93"/>
      <c r="K34" s="18"/>
      <c r="L34" s="6"/>
    </row>
    <row r="35" spans="2:12" x14ac:dyDescent="0.3">
      <c r="B35" s="13"/>
      <c r="C35" s="4" t="s">
        <v>155</v>
      </c>
      <c r="D35" s="5"/>
      <c r="E35" s="5"/>
      <c r="F35" s="5"/>
      <c r="G35" s="5"/>
      <c r="H35" s="6"/>
      <c r="I35" s="5"/>
      <c r="J35" s="93"/>
      <c r="K35" s="18"/>
      <c r="L35" s="6"/>
    </row>
    <row r="36" spans="2:12" x14ac:dyDescent="0.3">
      <c r="B36" s="13"/>
      <c r="C36" s="4" t="s">
        <v>156</v>
      </c>
      <c r="D36" s="5"/>
      <c r="E36" s="5"/>
      <c r="F36" s="5"/>
      <c r="G36" s="5"/>
      <c r="H36" s="6"/>
      <c r="I36" s="5"/>
      <c r="J36" s="93"/>
      <c r="K36" s="18"/>
      <c r="L36" s="6"/>
    </row>
    <row r="37" spans="2:12" x14ac:dyDescent="0.3">
      <c r="B37" s="13"/>
      <c r="C37" s="4" t="s">
        <v>157</v>
      </c>
      <c r="D37" s="5"/>
      <c r="E37" s="5"/>
      <c r="F37" s="5"/>
      <c r="G37" s="5"/>
      <c r="H37" s="6"/>
      <c r="I37" s="5"/>
      <c r="J37" s="93"/>
      <c r="K37" s="18"/>
      <c r="L37" s="6"/>
    </row>
    <row r="38" spans="2:12" x14ac:dyDescent="0.3">
      <c r="B38" s="13"/>
      <c r="C38" s="4" t="s">
        <v>158</v>
      </c>
      <c r="D38" s="5"/>
      <c r="E38" s="5"/>
      <c r="F38" s="5"/>
      <c r="G38" s="5"/>
      <c r="H38" s="6"/>
      <c r="I38" s="5" t="s">
        <v>9</v>
      </c>
      <c r="J38" s="93">
        <f>'Take-off Quantities'!L9</f>
        <v>956.22280000000012</v>
      </c>
      <c r="K38" s="18">
        <v>4.5999999999999996</v>
      </c>
      <c r="L38" s="23">
        <f>J38*K38</f>
        <v>4398.6248800000003</v>
      </c>
    </row>
    <row r="39" spans="2:12" x14ac:dyDescent="0.3">
      <c r="B39" s="13"/>
      <c r="C39" s="4"/>
      <c r="D39" s="5"/>
      <c r="E39" s="5"/>
      <c r="F39" s="5"/>
      <c r="G39" s="5"/>
      <c r="H39" s="6"/>
      <c r="I39" s="5"/>
      <c r="J39" s="93"/>
      <c r="K39" s="18"/>
      <c r="L39" s="6"/>
    </row>
    <row r="40" spans="2:12" x14ac:dyDescent="0.3">
      <c r="B40" s="13">
        <v>5.16</v>
      </c>
      <c r="C40" s="11" t="s">
        <v>342</v>
      </c>
      <c r="D40" s="5"/>
      <c r="E40" s="5"/>
      <c r="F40" s="5"/>
      <c r="G40" s="5"/>
      <c r="H40" s="6"/>
      <c r="I40" s="5"/>
      <c r="J40" s="93"/>
      <c r="K40" s="18"/>
      <c r="L40" s="6"/>
    </row>
    <row r="41" spans="2:12" x14ac:dyDescent="0.3">
      <c r="B41" s="13"/>
      <c r="C41" s="4" t="s">
        <v>180</v>
      </c>
      <c r="D41" s="5"/>
      <c r="E41" s="5"/>
      <c r="F41" s="5"/>
      <c r="G41" s="5"/>
      <c r="H41" s="6"/>
      <c r="I41" s="5"/>
      <c r="J41" s="93"/>
      <c r="K41" s="18"/>
      <c r="L41" s="6"/>
    </row>
    <row r="42" spans="2:12" x14ac:dyDescent="0.3">
      <c r="B42" s="13"/>
      <c r="C42" s="4" t="s">
        <v>181</v>
      </c>
      <c r="D42" s="5"/>
      <c r="E42" s="5"/>
      <c r="F42" s="5"/>
      <c r="G42" s="5"/>
      <c r="H42" s="6"/>
      <c r="I42" s="5"/>
      <c r="J42" s="93"/>
      <c r="K42" s="18"/>
      <c r="L42" s="6"/>
    </row>
    <row r="43" spans="2:12" x14ac:dyDescent="0.3">
      <c r="B43" s="13"/>
      <c r="C43" s="4" t="s">
        <v>182</v>
      </c>
      <c r="D43" s="5"/>
      <c r="E43" s="5"/>
      <c r="F43" s="5"/>
      <c r="G43" s="5"/>
      <c r="H43" s="6"/>
      <c r="I43" s="5" t="s">
        <v>9</v>
      </c>
      <c r="J43" s="93">
        <f>'Take-off Quantities'!L7</f>
        <v>829.48680000000002</v>
      </c>
      <c r="K43" s="18">
        <v>6.73</v>
      </c>
      <c r="L43" s="23">
        <f>J43*K43</f>
        <v>5582.4461640000009</v>
      </c>
    </row>
    <row r="44" spans="2:12" x14ac:dyDescent="0.3">
      <c r="B44" s="13"/>
      <c r="C44" s="4" t="s">
        <v>183</v>
      </c>
      <c r="D44" s="5"/>
      <c r="E44" s="5"/>
      <c r="F44" s="5"/>
      <c r="G44" s="5"/>
      <c r="H44" s="6"/>
      <c r="I44" s="5" t="s">
        <v>12</v>
      </c>
      <c r="J44" s="93">
        <f>'Take-off Quantities'!E5</f>
        <v>122.736</v>
      </c>
      <c r="K44" s="18">
        <v>3.2</v>
      </c>
      <c r="L44" s="23">
        <f>J44*K44</f>
        <v>392.75520000000006</v>
      </c>
    </row>
    <row r="45" spans="2:12" x14ac:dyDescent="0.3">
      <c r="B45" s="13"/>
      <c r="C45" s="4" t="s">
        <v>184</v>
      </c>
      <c r="D45" s="5"/>
      <c r="E45" s="5"/>
      <c r="F45" s="5"/>
      <c r="G45" s="5"/>
      <c r="H45" s="6"/>
      <c r="I45" s="5" t="s">
        <v>11</v>
      </c>
      <c r="J45" s="93">
        <v>20</v>
      </c>
      <c r="K45" s="18">
        <v>21.14</v>
      </c>
      <c r="L45" s="23">
        <f>J45*K45</f>
        <v>422.8</v>
      </c>
    </row>
    <row r="46" spans="2:12" x14ac:dyDescent="0.3">
      <c r="B46" s="13"/>
      <c r="C46" s="4"/>
      <c r="D46" s="5"/>
      <c r="E46" s="5"/>
      <c r="F46" s="5"/>
      <c r="G46" s="5"/>
      <c r="H46" s="6"/>
      <c r="I46" s="5"/>
      <c r="J46" s="93"/>
      <c r="K46" s="18"/>
      <c r="L46" s="6"/>
    </row>
    <row r="47" spans="2:12" x14ac:dyDescent="0.3">
      <c r="B47" s="13"/>
      <c r="C47" s="4"/>
      <c r="D47" s="5"/>
      <c r="E47" s="5"/>
      <c r="F47" s="5"/>
      <c r="G47" s="5"/>
      <c r="H47" s="6"/>
      <c r="I47" s="5"/>
      <c r="J47" s="93"/>
      <c r="K47" s="18"/>
      <c r="L47" s="6"/>
    </row>
    <row r="48" spans="2:12" x14ac:dyDescent="0.3">
      <c r="B48" s="13"/>
      <c r="C48" s="4"/>
      <c r="D48" s="5"/>
      <c r="E48" s="5"/>
      <c r="F48" s="5"/>
      <c r="G48" s="5"/>
      <c r="H48" s="6"/>
      <c r="I48" s="5"/>
      <c r="J48" s="93"/>
      <c r="K48" s="18"/>
      <c r="L48" s="6"/>
    </row>
    <row r="49" spans="2:12" x14ac:dyDescent="0.3">
      <c r="B49" s="13"/>
      <c r="C49" s="26"/>
      <c r="D49" s="27"/>
      <c r="E49" s="27"/>
      <c r="F49" s="27"/>
      <c r="G49" s="27"/>
      <c r="H49" s="28"/>
      <c r="I49" s="27"/>
      <c r="J49" s="98"/>
      <c r="K49" s="30"/>
      <c r="L49" s="65">
        <f>SUM(L13:L45)</f>
        <v>413098.68266000011</v>
      </c>
    </row>
  </sheetData>
  <mergeCells count="7">
    <mergeCell ref="B5:L5"/>
    <mergeCell ref="L6:L7"/>
    <mergeCell ref="B6:B7"/>
    <mergeCell ref="C6:H7"/>
    <mergeCell ref="I6:I7"/>
    <mergeCell ref="J6:J7"/>
    <mergeCell ref="K6:K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14"/>
  <sheetViews>
    <sheetView view="pageBreakPreview" topLeftCell="A55" zoomScale="85" zoomScaleNormal="70" zoomScaleSheetLayoutView="85" workbookViewId="0">
      <selection activeCell="G75" sqref="G75"/>
    </sheetView>
  </sheetViews>
  <sheetFormatPr defaultRowHeight="14.4" x14ac:dyDescent="0.3"/>
  <cols>
    <col min="1" max="1" width="1.77734375" customWidth="1"/>
    <col min="11" max="11" width="11" customWidth="1"/>
    <col min="12" max="12" width="17.88671875" customWidth="1"/>
    <col min="13" max="13" width="2.44140625" customWidth="1"/>
    <col min="14" max="14" width="14.33203125" customWidth="1"/>
  </cols>
  <sheetData>
    <row r="1" spans="2:14" ht="7.8" customHeight="1" x14ac:dyDescent="0.3"/>
    <row r="2" spans="2:14" x14ac:dyDescent="0.3">
      <c r="B2" s="161"/>
    </row>
    <row r="4" spans="2:14" x14ac:dyDescent="0.3">
      <c r="B4" s="130" t="s">
        <v>0</v>
      </c>
      <c r="K4" s="19"/>
    </row>
    <row r="5" spans="2:14" x14ac:dyDescent="0.3">
      <c r="B5" s="12"/>
      <c r="K5" s="19"/>
    </row>
    <row r="6" spans="2:14" x14ac:dyDescent="0.3">
      <c r="B6" s="172" t="s">
        <v>406</v>
      </c>
      <c r="C6" s="173"/>
      <c r="D6" s="173"/>
      <c r="E6" s="173"/>
      <c r="F6" s="173"/>
      <c r="G6" s="173"/>
      <c r="H6" s="173"/>
      <c r="I6" s="173"/>
      <c r="J6" s="173"/>
      <c r="K6" s="173"/>
      <c r="L6" s="174"/>
    </row>
    <row r="7" spans="2:14" x14ac:dyDescent="0.3">
      <c r="B7" s="169" t="s">
        <v>1</v>
      </c>
      <c r="C7" s="169" t="s">
        <v>2</v>
      </c>
      <c r="D7" s="169"/>
      <c r="E7" s="169"/>
      <c r="F7" s="169"/>
      <c r="G7" s="169"/>
      <c r="H7" s="169"/>
      <c r="I7" s="169" t="s">
        <v>3</v>
      </c>
      <c r="J7" s="170" t="s">
        <v>4</v>
      </c>
      <c r="K7" s="171" t="s">
        <v>5</v>
      </c>
      <c r="L7" s="169" t="s">
        <v>6</v>
      </c>
    </row>
    <row r="8" spans="2:14" x14ac:dyDescent="0.3">
      <c r="B8" s="169"/>
      <c r="C8" s="169"/>
      <c r="D8" s="169"/>
      <c r="E8" s="169"/>
      <c r="F8" s="169"/>
      <c r="G8" s="169"/>
      <c r="H8" s="169"/>
      <c r="I8" s="169"/>
      <c r="J8" s="170"/>
      <c r="K8" s="171"/>
      <c r="L8" s="169"/>
    </row>
    <row r="9" spans="2:14" x14ac:dyDescent="0.3">
      <c r="B9" s="13"/>
      <c r="C9" s="4"/>
      <c r="D9" s="5"/>
      <c r="E9" s="5"/>
      <c r="F9" s="5"/>
      <c r="G9" s="5"/>
      <c r="H9" s="6"/>
      <c r="I9" s="5"/>
      <c r="J9" s="10"/>
      <c r="K9" s="18"/>
      <c r="L9" s="6"/>
    </row>
    <row r="10" spans="2:14" x14ac:dyDescent="0.3">
      <c r="B10" s="13"/>
      <c r="C10" s="11" t="s">
        <v>8</v>
      </c>
      <c r="D10" s="5"/>
      <c r="E10" s="5"/>
      <c r="F10" s="5"/>
      <c r="G10" s="5"/>
      <c r="H10" s="6"/>
      <c r="I10" s="5"/>
      <c r="J10" s="10"/>
      <c r="K10" s="18"/>
      <c r="L10" s="6"/>
    </row>
    <row r="11" spans="2:14" x14ac:dyDescent="0.3">
      <c r="B11" s="13"/>
      <c r="C11" s="4"/>
      <c r="D11" s="5"/>
      <c r="E11" s="5"/>
      <c r="F11" s="5"/>
      <c r="G11" s="5"/>
      <c r="H11" s="6"/>
      <c r="I11" s="5"/>
      <c r="J11" s="10"/>
      <c r="K11" s="18"/>
      <c r="L11" s="6"/>
    </row>
    <row r="12" spans="2:14" x14ac:dyDescent="0.3">
      <c r="B12" s="13"/>
      <c r="C12" s="11" t="s">
        <v>287</v>
      </c>
      <c r="D12" s="5"/>
      <c r="E12" s="5"/>
      <c r="F12" s="5"/>
      <c r="G12" s="5"/>
      <c r="H12" s="6"/>
      <c r="I12" s="5"/>
      <c r="J12" s="10"/>
      <c r="K12" s="18"/>
      <c r="L12" s="6"/>
    </row>
    <row r="13" spans="2:14" x14ac:dyDescent="0.3">
      <c r="B13" s="13"/>
      <c r="C13" s="11" t="s">
        <v>17</v>
      </c>
      <c r="D13" s="5"/>
      <c r="E13" s="5"/>
      <c r="F13" s="5"/>
      <c r="G13" s="5"/>
      <c r="H13" s="6"/>
      <c r="I13" s="5"/>
      <c r="J13" s="10"/>
      <c r="K13" s="18"/>
      <c r="L13" s="6"/>
    </row>
    <row r="14" spans="2:14" x14ac:dyDescent="0.3">
      <c r="B14" s="13" t="s">
        <v>290</v>
      </c>
      <c r="C14" s="4" t="s">
        <v>18</v>
      </c>
      <c r="D14" s="5"/>
      <c r="E14" s="5"/>
      <c r="F14" s="5"/>
      <c r="G14" s="5"/>
      <c r="H14" s="6"/>
      <c r="I14" s="5" t="s">
        <v>10</v>
      </c>
      <c r="J14" s="10">
        <f>(J25*0.5)*1.2</f>
        <v>331.92</v>
      </c>
      <c r="K14" s="18">
        <v>5.89</v>
      </c>
      <c r="L14" s="23">
        <f>K14*J14</f>
        <v>1955.0088000000001</v>
      </c>
    </row>
    <row r="15" spans="2:14" x14ac:dyDescent="0.3">
      <c r="B15" s="13"/>
      <c r="C15" s="4" t="s">
        <v>19</v>
      </c>
      <c r="D15" s="5"/>
      <c r="E15" s="5"/>
      <c r="F15" s="5"/>
      <c r="G15" s="5"/>
      <c r="H15" s="6"/>
      <c r="I15" s="5" t="s">
        <v>10</v>
      </c>
      <c r="J15" s="10">
        <f>J14</f>
        <v>331.92</v>
      </c>
      <c r="K15" s="18">
        <v>15.59</v>
      </c>
      <c r="L15" s="23">
        <f>K15*J15</f>
        <v>5174.6328000000003</v>
      </c>
      <c r="N15" s="24"/>
    </row>
    <row r="16" spans="2:14" x14ac:dyDescent="0.3">
      <c r="B16" s="13"/>
      <c r="C16" s="22" t="s">
        <v>21</v>
      </c>
      <c r="D16" s="5"/>
      <c r="E16" s="5"/>
      <c r="F16" s="5"/>
      <c r="G16" s="5"/>
      <c r="H16" s="6"/>
      <c r="I16" s="5"/>
      <c r="J16" s="10"/>
      <c r="K16" s="18"/>
      <c r="L16" s="6"/>
    </row>
    <row r="17" spans="2:12" x14ac:dyDescent="0.3">
      <c r="B17" s="13" t="s">
        <v>289</v>
      </c>
      <c r="C17" s="4" t="s">
        <v>20</v>
      </c>
      <c r="D17" s="5"/>
      <c r="E17" s="5"/>
      <c r="F17" s="5"/>
      <c r="G17" s="5"/>
      <c r="H17" s="6"/>
      <c r="I17" s="5" t="s">
        <v>10</v>
      </c>
      <c r="J17" s="10">
        <f>J15</f>
        <v>331.92</v>
      </c>
      <c r="K17" s="18">
        <v>160.53</v>
      </c>
      <c r="L17" s="23">
        <f>K17*J17</f>
        <v>53283.117600000005</v>
      </c>
    </row>
    <row r="18" spans="2:12" x14ac:dyDescent="0.3">
      <c r="B18" s="13"/>
      <c r="C18" s="22" t="s">
        <v>22</v>
      </c>
      <c r="D18" s="5"/>
      <c r="E18" s="5"/>
      <c r="F18" s="5"/>
      <c r="G18" s="5"/>
      <c r="H18" s="6"/>
      <c r="I18" s="5"/>
      <c r="J18" s="10"/>
      <c r="K18" s="18"/>
      <c r="L18" s="6"/>
    </row>
    <row r="19" spans="2:12" x14ac:dyDescent="0.3">
      <c r="B19" s="13"/>
      <c r="C19" s="4" t="s">
        <v>23</v>
      </c>
      <c r="D19" s="5"/>
      <c r="E19" s="5"/>
      <c r="F19" s="5"/>
      <c r="G19" s="5"/>
      <c r="H19" s="6"/>
      <c r="I19" s="21" t="s">
        <v>10</v>
      </c>
      <c r="J19" s="10">
        <f>J17</f>
        <v>331.92</v>
      </c>
      <c r="K19" s="18">
        <v>4.33</v>
      </c>
      <c r="L19" s="23">
        <f>K19*J19</f>
        <v>1437.2136</v>
      </c>
    </row>
    <row r="20" spans="2:12" x14ac:dyDescent="0.3">
      <c r="B20" s="13"/>
      <c r="C20" s="4"/>
      <c r="D20" s="5"/>
      <c r="E20" s="5"/>
      <c r="F20" s="5"/>
      <c r="G20" s="5"/>
      <c r="H20" s="6"/>
      <c r="I20" s="5"/>
      <c r="J20" s="10"/>
      <c r="K20" s="18"/>
      <c r="L20" s="6"/>
    </row>
    <row r="21" spans="2:12" x14ac:dyDescent="0.3">
      <c r="B21" s="13" t="s">
        <v>291</v>
      </c>
      <c r="C21" s="11" t="s">
        <v>24</v>
      </c>
      <c r="D21" s="5"/>
      <c r="E21" s="5"/>
      <c r="F21" s="5"/>
      <c r="G21" s="5"/>
      <c r="H21" s="6"/>
      <c r="I21" s="5"/>
      <c r="J21" s="10"/>
      <c r="K21" s="18"/>
      <c r="L21" s="6"/>
    </row>
    <row r="22" spans="2:12" x14ac:dyDescent="0.3">
      <c r="B22" s="13"/>
      <c r="C22" s="11" t="s">
        <v>25</v>
      </c>
      <c r="D22" s="5"/>
      <c r="E22" s="5"/>
      <c r="F22" s="5"/>
      <c r="G22" s="5"/>
      <c r="H22" s="6"/>
      <c r="I22" s="5"/>
      <c r="J22" s="10"/>
      <c r="K22" s="18"/>
      <c r="L22" s="6"/>
    </row>
    <row r="23" spans="2:12" x14ac:dyDescent="0.3">
      <c r="B23" s="13"/>
      <c r="C23" s="11" t="s">
        <v>26</v>
      </c>
      <c r="D23" s="5"/>
      <c r="E23" s="5"/>
      <c r="F23" s="5"/>
      <c r="G23" s="5"/>
      <c r="H23" s="6"/>
      <c r="I23" s="5"/>
      <c r="J23" s="10"/>
      <c r="K23" s="18"/>
      <c r="L23" s="6"/>
    </row>
    <row r="24" spans="2:12" x14ac:dyDescent="0.3">
      <c r="B24" s="13"/>
      <c r="C24" s="4" t="s">
        <v>27</v>
      </c>
      <c r="D24" s="5"/>
      <c r="E24" s="5"/>
      <c r="F24" s="5"/>
      <c r="G24" s="5"/>
      <c r="H24" s="6"/>
      <c r="I24" s="5" t="s">
        <v>11</v>
      </c>
      <c r="J24" s="10">
        <v>96</v>
      </c>
      <c r="K24" s="18">
        <v>193.07</v>
      </c>
      <c r="L24" s="23">
        <f>K24*J24</f>
        <v>18534.72</v>
      </c>
    </row>
    <row r="25" spans="2:12" x14ac:dyDescent="0.3">
      <c r="B25" s="13"/>
      <c r="C25" s="4" t="s">
        <v>28</v>
      </c>
      <c r="D25" s="5"/>
      <c r="E25" s="5"/>
      <c r="F25" s="5"/>
      <c r="G25" s="5"/>
      <c r="H25" s="6"/>
      <c r="I25" s="5" t="s">
        <v>12</v>
      </c>
      <c r="J25" s="10">
        <v>553.20000000000005</v>
      </c>
      <c r="K25" s="18">
        <v>33.616666666666667</v>
      </c>
      <c r="L25" s="23">
        <f t="shared" ref="L25:L26" si="0">K25*J25</f>
        <v>18596.740000000002</v>
      </c>
    </row>
    <row r="26" spans="2:12" x14ac:dyDescent="0.3">
      <c r="B26" s="13"/>
      <c r="C26" s="4" t="s">
        <v>29</v>
      </c>
      <c r="D26" s="5"/>
      <c r="E26" s="5"/>
      <c r="F26" s="5"/>
      <c r="G26" s="5"/>
      <c r="H26" s="6"/>
      <c r="I26" s="5" t="s">
        <v>12</v>
      </c>
      <c r="J26" s="10">
        <v>553.20000000000005</v>
      </c>
      <c r="K26" s="18">
        <v>72.875</v>
      </c>
      <c r="L26" s="23">
        <f t="shared" si="0"/>
        <v>40314.450000000004</v>
      </c>
    </row>
    <row r="27" spans="2:12" x14ac:dyDescent="0.3">
      <c r="B27" s="13"/>
      <c r="C27" s="4"/>
      <c r="D27" s="5"/>
      <c r="E27" s="5"/>
      <c r="F27" s="5"/>
      <c r="G27" s="5"/>
      <c r="H27" s="6"/>
      <c r="I27" s="5"/>
      <c r="J27" s="10"/>
      <c r="K27" s="18"/>
      <c r="L27" s="23"/>
    </row>
    <row r="28" spans="2:12" ht="13.8" customHeight="1" x14ac:dyDescent="0.3">
      <c r="B28" s="13"/>
      <c r="C28" s="4" t="s">
        <v>361</v>
      </c>
      <c r="D28" s="5"/>
      <c r="E28" s="5"/>
      <c r="F28" s="5"/>
      <c r="G28" s="5"/>
      <c r="H28" s="6"/>
      <c r="I28" s="21" t="s">
        <v>359</v>
      </c>
      <c r="J28" s="160" t="s">
        <v>360</v>
      </c>
      <c r="K28" s="18">
        <v>145</v>
      </c>
      <c r="L28" s="6"/>
    </row>
    <row r="29" spans="2:12" ht="13.8" customHeight="1" x14ac:dyDescent="0.3">
      <c r="B29" s="13"/>
      <c r="C29" s="4"/>
      <c r="D29" s="5"/>
      <c r="E29" s="5"/>
      <c r="F29" s="5"/>
      <c r="G29" s="5"/>
      <c r="H29" s="6"/>
      <c r="I29" s="5"/>
      <c r="J29" s="10"/>
      <c r="K29" s="18"/>
      <c r="L29" s="6"/>
    </row>
    <row r="30" spans="2:12" ht="13.8" customHeight="1" x14ac:dyDescent="0.3">
      <c r="B30" s="13"/>
      <c r="C30" s="11" t="s">
        <v>254</v>
      </c>
      <c r="D30" s="5"/>
      <c r="E30" s="5"/>
      <c r="F30" s="5"/>
      <c r="G30" s="5"/>
      <c r="H30" s="6"/>
      <c r="I30" s="5"/>
      <c r="J30" s="10"/>
      <c r="K30" s="18"/>
      <c r="L30" s="6"/>
    </row>
    <row r="31" spans="2:12" ht="13.8" customHeight="1" x14ac:dyDescent="0.3">
      <c r="B31" s="13" t="s">
        <v>288</v>
      </c>
      <c r="C31" s="11" t="s">
        <v>232</v>
      </c>
      <c r="D31" s="5"/>
      <c r="E31" s="5"/>
      <c r="F31" s="5"/>
      <c r="G31" s="5"/>
      <c r="H31" s="6"/>
      <c r="I31" s="5"/>
      <c r="J31" s="10"/>
      <c r="K31" s="18"/>
      <c r="L31" s="6"/>
    </row>
    <row r="32" spans="2:12" ht="13.8" customHeight="1" x14ac:dyDescent="0.3">
      <c r="B32" s="13"/>
      <c r="C32" s="11" t="s">
        <v>233</v>
      </c>
      <c r="D32" s="5"/>
      <c r="E32" s="5"/>
      <c r="F32" s="5"/>
      <c r="G32" s="5"/>
      <c r="H32" s="6"/>
      <c r="I32" s="5"/>
      <c r="J32" s="10"/>
      <c r="K32" s="18"/>
      <c r="L32" s="6"/>
    </row>
    <row r="33" spans="2:12" ht="13.8" customHeight="1" x14ac:dyDescent="0.3">
      <c r="B33" s="13"/>
      <c r="C33" s="11" t="s">
        <v>234</v>
      </c>
      <c r="D33" s="5"/>
      <c r="E33" s="5"/>
      <c r="F33" s="5"/>
      <c r="G33" s="5"/>
      <c r="H33" s="6"/>
      <c r="I33" s="5"/>
      <c r="J33" s="10"/>
      <c r="K33" s="18"/>
      <c r="L33" s="6"/>
    </row>
    <row r="34" spans="2:12" ht="13.8" customHeight="1" x14ac:dyDescent="0.3">
      <c r="B34" s="13"/>
      <c r="C34" s="11" t="s">
        <v>235</v>
      </c>
      <c r="D34" s="5"/>
      <c r="E34" s="5"/>
      <c r="F34" s="5"/>
      <c r="G34" s="5"/>
      <c r="H34" s="6"/>
      <c r="I34" s="5"/>
      <c r="J34" s="10"/>
      <c r="K34" s="18"/>
      <c r="L34" s="6"/>
    </row>
    <row r="35" spans="2:12" ht="13.8" customHeight="1" x14ac:dyDescent="0.3">
      <c r="B35" s="13"/>
      <c r="C35" s="4"/>
      <c r="D35" s="5"/>
      <c r="E35" s="5"/>
      <c r="F35" s="5"/>
      <c r="G35" s="5"/>
      <c r="H35" s="6"/>
      <c r="I35" s="5"/>
      <c r="J35" s="10"/>
      <c r="K35" s="18"/>
      <c r="L35" s="6"/>
    </row>
    <row r="36" spans="2:12" ht="13.8" customHeight="1" x14ac:dyDescent="0.3">
      <c r="B36" s="13"/>
      <c r="C36" s="4" t="s">
        <v>170</v>
      </c>
      <c r="D36" s="5"/>
      <c r="E36" s="5"/>
      <c r="F36" s="5"/>
      <c r="G36" s="5"/>
      <c r="H36" s="6"/>
      <c r="I36" s="5"/>
      <c r="J36" s="10"/>
      <c r="K36" s="18"/>
      <c r="L36" s="6"/>
    </row>
    <row r="37" spans="2:12" ht="13.8" customHeight="1" x14ac:dyDescent="0.3">
      <c r="B37" s="13"/>
      <c r="C37" s="4" t="s">
        <v>236</v>
      </c>
      <c r="D37" s="5"/>
      <c r="E37" s="5"/>
      <c r="F37" s="5"/>
      <c r="G37" s="5"/>
      <c r="H37" s="6"/>
      <c r="I37" s="5"/>
      <c r="J37" s="10"/>
      <c r="K37" s="18"/>
      <c r="L37" s="6"/>
    </row>
    <row r="38" spans="2:12" ht="13.8" customHeight="1" x14ac:dyDescent="0.3">
      <c r="B38" s="13"/>
      <c r="C38" s="4"/>
      <c r="D38" s="5"/>
      <c r="E38" s="5"/>
      <c r="F38" s="5"/>
      <c r="G38" s="5"/>
      <c r="H38" s="6"/>
      <c r="I38" s="5"/>
      <c r="J38" s="10"/>
      <c r="K38" s="18"/>
      <c r="L38" s="6"/>
    </row>
    <row r="39" spans="2:12" ht="13.8" customHeight="1" x14ac:dyDescent="0.3">
      <c r="B39" s="13"/>
      <c r="C39" s="4" t="s">
        <v>237</v>
      </c>
      <c r="D39" s="5"/>
      <c r="E39" s="5"/>
      <c r="F39" s="5"/>
      <c r="G39" s="5"/>
      <c r="H39" s="6"/>
      <c r="I39" s="5" t="s">
        <v>13</v>
      </c>
      <c r="J39" s="10">
        <v>1</v>
      </c>
      <c r="K39" s="18">
        <v>1522.77</v>
      </c>
      <c r="L39" s="23">
        <f t="shared" ref="L39" si="1">K39*J39</f>
        <v>1522.77</v>
      </c>
    </row>
    <row r="40" spans="2:12" ht="13.8" customHeight="1" x14ac:dyDescent="0.3">
      <c r="B40" s="13"/>
      <c r="C40" s="4"/>
      <c r="D40" s="5"/>
      <c r="E40" s="5"/>
      <c r="F40" s="5"/>
      <c r="G40" s="5"/>
      <c r="H40" s="6"/>
      <c r="I40" s="5"/>
      <c r="J40" s="10"/>
      <c r="K40" s="18"/>
      <c r="L40" s="6"/>
    </row>
    <row r="41" spans="2:12" ht="13.8" customHeight="1" x14ac:dyDescent="0.3">
      <c r="B41" s="13"/>
      <c r="C41" s="4"/>
      <c r="D41" s="5"/>
      <c r="E41" s="5"/>
      <c r="F41" s="5"/>
      <c r="G41" s="5"/>
      <c r="H41" s="6"/>
      <c r="I41" s="5"/>
      <c r="J41" s="10"/>
      <c r="K41" s="18"/>
      <c r="L41" s="6"/>
    </row>
    <row r="42" spans="2:12" ht="13.8" customHeight="1" x14ac:dyDescent="0.3">
      <c r="B42" s="13"/>
      <c r="C42" s="4"/>
      <c r="D42" s="5"/>
      <c r="E42" s="5"/>
      <c r="F42" s="5"/>
      <c r="G42" s="5"/>
      <c r="H42" s="6"/>
      <c r="I42" s="5"/>
      <c r="J42" s="10"/>
      <c r="K42" s="18"/>
      <c r="L42" s="6"/>
    </row>
    <row r="43" spans="2:12" x14ac:dyDescent="0.3">
      <c r="B43" s="13"/>
      <c r="C43" s="72" t="s">
        <v>142</v>
      </c>
      <c r="D43" s="5"/>
      <c r="E43" s="5"/>
      <c r="F43" s="5"/>
      <c r="G43" s="5"/>
      <c r="H43" s="6"/>
      <c r="I43" s="5"/>
      <c r="J43" s="10"/>
      <c r="K43" s="18"/>
      <c r="L43" s="6"/>
    </row>
    <row r="44" spans="2:12" x14ac:dyDescent="0.3">
      <c r="B44" s="13"/>
      <c r="C44" s="72" t="s">
        <v>143</v>
      </c>
      <c r="D44" s="5"/>
      <c r="E44" s="5"/>
      <c r="F44" s="5" t="s">
        <v>146</v>
      </c>
      <c r="G44" s="5"/>
      <c r="H44" s="6"/>
      <c r="I44" s="5" t="s">
        <v>11</v>
      </c>
      <c r="J44" s="10">
        <v>4</v>
      </c>
      <c r="K44" s="18"/>
      <c r="L44" s="6"/>
    </row>
    <row r="45" spans="2:12" x14ac:dyDescent="0.3">
      <c r="B45" s="13"/>
      <c r="C45" s="11" t="s">
        <v>231</v>
      </c>
      <c r="D45" s="5"/>
      <c r="E45" s="5"/>
      <c r="F45" s="5"/>
      <c r="G45" s="5"/>
      <c r="H45" s="6"/>
      <c r="I45" s="21" t="s">
        <v>9</v>
      </c>
      <c r="J45" s="10">
        <f>(0.75*4)*J44</f>
        <v>12</v>
      </c>
      <c r="K45" s="18">
        <v>51.24</v>
      </c>
      <c r="L45" s="23">
        <f>J45*K45</f>
        <v>614.88</v>
      </c>
    </row>
    <row r="46" spans="2:12" x14ac:dyDescent="0.3">
      <c r="B46" s="13"/>
      <c r="C46" s="11"/>
      <c r="D46" s="5"/>
      <c r="E46" s="5"/>
      <c r="F46" s="5"/>
      <c r="G46" s="5"/>
      <c r="H46" s="6"/>
      <c r="I46" s="5"/>
      <c r="J46" s="10"/>
      <c r="K46" s="18"/>
      <c r="L46" s="6"/>
    </row>
    <row r="47" spans="2:12" x14ac:dyDescent="0.3">
      <c r="B47" s="13"/>
      <c r="C47" s="11" t="s">
        <v>163</v>
      </c>
      <c r="D47" s="5"/>
      <c r="E47" s="5"/>
      <c r="F47" s="5"/>
      <c r="G47" s="5"/>
      <c r="H47" s="6"/>
      <c r="I47" s="5"/>
      <c r="J47" s="10"/>
      <c r="K47" s="18"/>
      <c r="L47" s="6"/>
    </row>
    <row r="48" spans="2:12" x14ac:dyDescent="0.3">
      <c r="B48" s="13"/>
      <c r="C48" s="4" t="s">
        <v>173</v>
      </c>
      <c r="D48" s="5"/>
      <c r="E48" s="5"/>
      <c r="F48" s="5"/>
      <c r="G48" s="5"/>
      <c r="H48" s="6"/>
      <c r="I48" s="5"/>
      <c r="J48" s="10"/>
      <c r="K48" s="18"/>
      <c r="L48" s="6"/>
    </row>
    <row r="49" spans="2:12" x14ac:dyDescent="0.3">
      <c r="B49" s="13"/>
      <c r="C49" s="4" t="s">
        <v>174</v>
      </c>
      <c r="D49" s="5"/>
      <c r="E49" s="5"/>
      <c r="F49" s="5"/>
      <c r="G49" s="5"/>
      <c r="H49" s="6"/>
      <c r="I49" s="5" t="s">
        <v>10</v>
      </c>
      <c r="J49" s="10">
        <f>(0.75*0.75*0.75)*J44</f>
        <v>1.6875</v>
      </c>
      <c r="K49" s="18">
        <v>114.07</v>
      </c>
      <c r="L49" s="23">
        <f>J49*K49</f>
        <v>192.49312499999999</v>
      </c>
    </row>
    <row r="50" spans="2:12" x14ac:dyDescent="0.3">
      <c r="B50" s="13"/>
      <c r="C50" s="4"/>
      <c r="D50" s="5"/>
      <c r="E50" s="5"/>
      <c r="F50" s="5"/>
      <c r="G50" s="5"/>
      <c r="H50" s="6"/>
      <c r="I50" s="5"/>
      <c r="J50" s="10"/>
      <c r="K50" s="18"/>
      <c r="L50" s="6"/>
    </row>
    <row r="51" spans="2:12" x14ac:dyDescent="0.3">
      <c r="B51" s="13"/>
      <c r="C51" s="11" t="s">
        <v>164</v>
      </c>
      <c r="D51" s="5"/>
      <c r="E51" s="5"/>
      <c r="F51" s="5"/>
      <c r="G51" s="5"/>
      <c r="H51" s="6"/>
      <c r="I51" s="5"/>
      <c r="J51" s="10"/>
      <c r="K51" s="18"/>
      <c r="L51" s="6"/>
    </row>
    <row r="52" spans="2:12" x14ac:dyDescent="0.3">
      <c r="B52" s="13"/>
      <c r="C52" s="4" t="s">
        <v>165</v>
      </c>
      <c r="D52" s="5"/>
      <c r="E52" s="5"/>
      <c r="F52" s="5"/>
      <c r="G52" s="5"/>
      <c r="H52" s="6"/>
      <c r="I52" s="5"/>
      <c r="J52" s="10"/>
      <c r="K52" s="18"/>
      <c r="L52" s="6"/>
    </row>
    <row r="53" spans="2:12" x14ac:dyDescent="0.3">
      <c r="B53" s="13"/>
      <c r="C53" s="4" t="s">
        <v>227</v>
      </c>
      <c r="D53" s="5"/>
      <c r="E53" s="5"/>
      <c r="F53" s="5"/>
      <c r="G53" s="5"/>
      <c r="H53" s="6"/>
      <c r="I53" s="5" t="s">
        <v>10</v>
      </c>
      <c r="J53" s="10">
        <f>(0.75*0.75*0.75)*J44</f>
        <v>1.6875</v>
      </c>
      <c r="K53" s="18">
        <v>32.85</v>
      </c>
      <c r="L53" s="23">
        <f>J53*K53</f>
        <v>55.434375000000003</v>
      </c>
    </row>
    <row r="54" spans="2:12" x14ac:dyDescent="0.3">
      <c r="B54" s="13"/>
      <c r="C54" s="4"/>
      <c r="D54" s="5"/>
      <c r="E54" s="5"/>
      <c r="F54" s="5"/>
      <c r="G54" s="5"/>
      <c r="H54" s="6"/>
      <c r="I54" s="5"/>
      <c r="J54" s="10"/>
      <c r="K54" s="18"/>
      <c r="L54" s="23"/>
    </row>
    <row r="55" spans="2:12" x14ac:dyDescent="0.3">
      <c r="B55" s="13"/>
      <c r="C55" s="4"/>
      <c r="D55" s="5"/>
      <c r="E55" s="5"/>
      <c r="F55" s="5"/>
      <c r="G55" s="5"/>
      <c r="H55" s="6"/>
      <c r="I55" s="5"/>
      <c r="J55" s="10"/>
      <c r="K55" s="18"/>
      <c r="L55" s="6"/>
    </row>
    <row r="56" spans="2:12" x14ac:dyDescent="0.3">
      <c r="B56" s="13"/>
      <c r="C56" s="72" t="s">
        <v>144</v>
      </c>
      <c r="D56" s="5"/>
      <c r="E56" s="5"/>
      <c r="F56" s="5" t="s">
        <v>146</v>
      </c>
      <c r="G56" s="5"/>
      <c r="H56" s="6"/>
      <c r="I56" s="5" t="s">
        <v>11</v>
      </c>
      <c r="J56" s="10">
        <v>19</v>
      </c>
      <c r="K56" s="18"/>
      <c r="L56" s="6"/>
    </row>
    <row r="57" spans="2:12" x14ac:dyDescent="0.3">
      <c r="B57" s="13"/>
      <c r="C57" s="11" t="s">
        <v>231</v>
      </c>
      <c r="D57" s="5"/>
      <c r="E57" s="5"/>
      <c r="F57" s="5"/>
      <c r="G57" s="5"/>
      <c r="H57" s="6"/>
      <c r="I57" s="21" t="s">
        <v>9</v>
      </c>
      <c r="J57" s="10">
        <f>(1.1+1.3+1.1+1.3)*J56</f>
        <v>91.200000000000017</v>
      </c>
      <c r="K57" s="18">
        <v>51.24</v>
      </c>
      <c r="L57" s="23">
        <f>J57*K57</f>
        <v>4673.0880000000006</v>
      </c>
    </row>
    <row r="58" spans="2:12" x14ac:dyDescent="0.3">
      <c r="B58" s="13"/>
      <c r="C58" s="11"/>
      <c r="D58" s="5"/>
      <c r="E58" s="5"/>
      <c r="F58" s="5"/>
      <c r="G58" s="5"/>
      <c r="H58" s="6"/>
      <c r="I58" s="5"/>
      <c r="J58" s="10"/>
      <c r="K58" s="18"/>
      <c r="L58" s="6"/>
    </row>
    <row r="59" spans="2:12" x14ac:dyDescent="0.3">
      <c r="B59" s="13"/>
      <c r="C59" s="11" t="s">
        <v>163</v>
      </c>
      <c r="D59" s="5"/>
      <c r="E59" s="5"/>
      <c r="F59" s="5"/>
      <c r="G59" s="5"/>
      <c r="H59" s="6"/>
      <c r="I59" s="5"/>
      <c r="J59" s="10"/>
      <c r="K59" s="18"/>
      <c r="L59" s="6"/>
    </row>
    <row r="60" spans="2:12" x14ac:dyDescent="0.3">
      <c r="B60" s="13"/>
      <c r="C60" s="4" t="s">
        <v>173</v>
      </c>
      <c r="D60" s="5"/>
      <c r="E60" s="5"/>
      <c r="F60" s="5"/>
      <c r="G60" s="5"/>
      <c r="H60" s="6"/>
      <c r="I60" s="5"/>
      <c r="J60" s="10"/>
      <c r="K60" s="18"/>
      <c r="L60" s="6"/>
    </row>
    <row r="61" spans="2:12" x14ac:dyDescent="0.3">
      <c r="B61" s="13"/>
      <c r="C61" s="4" t="s">
        <v>174</v>
      </c>
      <c r="D61" s="5"/>
      <c r="E61" s="5"/>
      <c r="F61" s="5"/>
      <c r="G61" s="5"/>
      <c r="H61" s="6"/>
      <c r="I61" s="5" t="s">
        <v>10</v>
      </c>
      <c r="J61" s="10">
        <f>(1.1*1.3*0.75)*J56</f>
        <v>20.377500000000005</v>
      </c>
      <c r="K61" s="18">
        <v>114.07</v>
      </c>
      <c r="L61" s="23">
        <f>J61*K61</f>
        <v>2324.4614250000004</v>
      </c>
    </row>
    <row r="62" spans="2:12" x14ac:dyDescent="0.3">
      <c r="B62" s="13"/>
      <c r="C62" s="4"/>
      <c r="D62" s="5"/>
      <c r="E62" s="5"/>
      <c r="F62" s="5"/>
      <c r="G62" s="5"/>
      <c r="H62" s="6"/>
      <c r="I62" s="5"/>
      <c r="J62" s="10"/>
      <c r="K62" s="18"/>
      <c r="L62" s="6"/>
    </row>
    <row r="63" spans="2:12" x14ac:dyDescent="0.3">
      <c r="B63" s="13"/>
      <c r="C63" s="11" t="s">
        <v>164</v>
      </c>
      <c r="D63" s="5"/>
      <c r="E63" s="5"/>
      <c r="F63" s="5"/>
      <c r="G63" s="5"/>
      <c r="H63" s="6"/>
      <c r="I63" s="5"/>
      <c r="J63" s="10"/>
      <c r="K63" s="18"/>
      <c r="L63" s="6"/>
    </row>
    <row r="64" spans="2:12" x14ac:dyDescent="0.3">
      <c r="B64" s="13"/>
      <c r="C64" s="4" t="s">
        <v>165</v>
      </c>
      <c r="D64" s="5"/>
      <c r="E64" s="5"/>
      <c r="F64" s="5"/>
      <c r="G64" s="5"/>
      <c r="H64" s="6"/>
      <c r="I64" s="5"/>
      <c r="J64" s="10"/>
      <c r="K64" s="18"/>
      <c r="L64" s="6"/>
    </row>
    <row r="65" spans="2:12" x14ac:dyDescent="0.3">
      <c r="B65" s="13"/>
      <c r="C65" s="4" t="s">
        <v>227</v>
      </c>
      <c r="D65" s="5"/>
      <c r="E65" s="5"/>
      <c r="F65" s="5"/>
      <c r="G65" s="5"/>
      <c r="H65" s="6"/>
      <c r="I65" s="5" t="s">
        <v>10</v>
      </c>
      <c r="J65" s="10">
        <f>(1.1*1.3*0.75)*J56</f>
        <v>20.377500000000005</v>
      </c>
      <c r="K65" s="18">
        <v>32.85</v>
      </c>
      <c r="L65" s="23">
        <f>J65*K65</f>
        <v>669.40087500000016</v>
      </c>
    </row>
    <row r="66" spans="2:12" x14ac:dyDescent="0.3">
      <c r="B66" s="13"/>
      <c r="C66" s="4"/>
      <c r="D66" s="5"/>
      <c r="E66" s="5"/>
      <c r="F66" s="5"/>
      <c r="G66" s="5"/>
      <c r="H66" s="6"/>
      <c r="I66" s="5"/>
      <c r="J66" s="10"/>
      <c r="K66" s="18"/>
      <c r="L66" s="23"/>
    </row>
    <row r="67" spans="2:12" x14ac:dyDescent="0.3">
      <c r="B67" s="13"/>
      <c r="C67" s="4"/>
      <c r="D67" s="5"/>
      <c r="E67" s="5"/>
      <c r="F67" s="5"/>
      <c r="G67" s="5"/>
      <c r="H67" s="6"/>
      <c r="I67" s="5"/>
      <c r="J67" s="10"/>
      <c r="K67" s="18"/>
      <c r="L67" s="6"/>
    </row>
    <row r="68" spans="2:12" x14ac:dyDescent="0.3">
      <c r="B68" s="13"/>
      <c r="C68" s="72" t="s">
        <v>145</v>
      </c>
      <c r="D68" s="5"/>
      <c r="E68" s="5"/>
      <c r="F68" s="5" t="s">
        <v>146</v>
      </c>
      <c r="G68" s="5"/>
      <c r="H68" s="6"/>
      <c r="I68" s="5" t="s">
        <v>11</v>
      </c>
      <c r="J68" s="10">
        <v>10</v>
      </c>
      <c r="K68" s="18"/>
      <c r="L68" s="6"/>
    </row>
    <row r="69" spans="2:12" x14ac:dyDescent="0.3">
      <c r="B69" s="13"/>
      <c r="C69" s="11" t="s">
        <v>231</v>
      </c>
      <c r="D69" s="5"/>
      <c r="E69" s="5"/>
      <c r="F69" s="5"/>
      <c r="G69" s="5"/>
      <c r="H69" s="6"/>
      <c r="I69" s="21" t="s">
        <v>9</v>
      </c>
      <c r="J69" s="10">
        <f>(1.3+0.216+0.341+0.75+0.75+0.3+0.3)*J68</f>
        <v>39.57</v>
      </c>
      <c r="K69" s="18">
        <v>51.24</v>
      </c>
      <c r="L69" s="23">
        <f>J69*K69</f>
        <v>2027.5668000000001</v>
      </c>
    </row>
    <row r="70" spans="2:12" x14ac:dyDescent="0.3">
      <c r="B70" s="13"/>
      <c r="C70" s="11"/>
      <c r="D70" s="5"/>
      <c r="E70" s="5"/>
      <c r="F70" s="5"/>
      <c r="G70" s="5"/>
      <c r="H70" s="6"/>
      <c r="I70" s="5"/>
      <c r="J70" s="10"/>
      <c r="K70" s="18"/>
      <c r="L70" s="6"/>
    </row>
    <row r="71" spans="2:12" x14ac:dyDescent="0.3">
      <c r="B71" s="13"/>
      <c r="C71" s="11" t="s">
        <v>163</v>
      </c>
      <c r="D71" s="5"/>
      <c r="E71" s="5"/>
      <c r="F71" s="5"/>
      <c r="G71" s="5"/>
      <c r="H71" s="6"/>
      <c r="I71" s="5"/>
      <c r="J71" s="10"/>
      <c r="K71" s="18"/>
      <c r="L71" s="6"/>
    </row>
    <row r="72" spans="2:12" x14ac:dyDescent="0.3">
      <c r="B72" s="13"/>
      <c r="C72" s="4" t="s">
        <v>173</v>
      </c>
      <c r="D72" s="5"/>
      <c r="E72" s="5"/>
      <c r="F72" s="5"/>
      <c r="G72" s="5"/>
      <c r="H72" s="6"/>
      <c r="I72" s="5"/>
      <c r="J72" s="10"/>
      <c r="K72" s="18"/>
      <c r="L72" s="6"/>
    </row>
    <row r="73" spans="2:12" x14ac:dyDescent="0.3">
      <c r="B73" s="13"/>
      <c r="C73" s="4" t="s">
        <v>174</v>
      </c>
      <c r="D73" s="5"/>
      <c r="E73" s="5"/>
      <c r="F73" s="5"/>
      <c r="G73" s="5"/>
      <c r="H73" s="6"/>
      <c r="I73" s="5" t="s">
        <v>10</v>
      </c>
      <c r="J73" s="10">
        <f>(1.3*1.249*0.75)*J68</f>
        <v>12.17775</v>
      </c>
      <c r="K73" s="18">
        <v>114.07</v>
      </c>
      <c r="L73" s="23">
        <f>J73*K73</f>
        <v>1389.1159424999998</v>
      </c>
    </row>
    <row r="74" spans="2:12" x14ac:dyDescent="0.3">
      <c r="B74" s="13"/>
      <c r="C74" s="4"/>
      <c r="D74" s="5"/>
      <c r="E74" s="5"/>
      <c r="F74" s="5"/>
      <c r="G74" s="5"/>
      <c r="H74" s="6"/>
      <c r="I74" s="5"/>
      <c r="J74" s="10"/>
      <c r="K74" s="18"/>
      <c r="L74" s="6"/>
    </row>
    <row r="75" spans="2:12" x14ac:dyDescent="0.3">
      <c r="B75" s="13"/>
      <c r="C75" s="11" t="s">
        <v>164</v>
      </c>
      <c r="D75" s="5"/>
      <c r="E75" s="5"/>
      <c r="F75" s="5"/>
      <c r="G75" s="5"/>
      <c r="H75" s="6"/>
      <c r="I75" s="5"/>
      <c r="J75" s="10"/>
      <c r="K75" s="18"/>
      <c r="L75" s="6"/>
    </row>
    <row r="76" spans="2:12" x14ac:dyDescent="0.3">
      <c r="B76" s="13"/>
      <c r="C76" s="4" t="s">
        <v>165</v>
      </c>
      <c r="D76" s="5"/>
      <c r="E76" s="5"/>
      <c r="F76" s="5"/>
      <c r="G76" s="5"/>
      <c r="H76" s="6"/>
      <c r="I76" s="5"/>
      <c r="J76" s="10"/>
      <c r="K76" s="18"/>
      <c r="L76" s="23"/>
    </row>
    <row r="77" spans="2:12" x14ac:dyDescent="0.3">
      <c r="B77" s="13"/>
      <c r="C77" s="4" t="s">
        <v>227</v>
      </c>
      <c r="D77" s="5"/>
      <c r="E77" s="5"/>
      <c r="F77" s="5"/>
      <c r="G77" s="5"/>
      <c r="H77" s="6"/>
      <c r="I77" s="5" t="s">
        <v>10</v>
      </c>
      <c r="J77" s="10">
        <f>(1.3*1.249*0.75)*J68</f>
        <v>12.17775</v>
      </c>
      <c r="K77" s="18">
        <v>32.85</v>
      </c>
      <c r="L77" s="23">
        <f>J77*K77</f>
        <v>400.03908749999999</v>
      </c>
    </row>
    <row r="78" spans="2:12" x14ac:dyDescent="0.3">
      <c r="B78" s="13"/>
      <c r="C78" s="4"/>
      <c r="D78" s="5"/>
      <c r="E78" s="5"/>
      <c r="F78" s="5"/>
      <c r="G78" s="5"/>
      <c r="H78" s="6"/>
      <c r="I78" s="5"/>
      <c r="J78" s="10"/>
      <c r="K78" s="18"/>
      <c r="L78" s="6"/>
    </row>
    <row r="79" spans="2:12" x14ac:dyDescent="0.3">
      <c r="B79" s="13"/>
      <c r="C79" s="4"/>
      <c r="D79" s="5"/>
      <c r="E79" s="5"/>
      <c r="F79" s="5"/>
      <c r="G79" s="5"/>
      <c r="H79" s="6"/>
      <c r="I79" s="5"/>
      <c r="J79" s="10"/>
      <c r="K79" s="18"/>
      <c r="L79" s="6"/>
    </row>
    <row r="80" spans="2:12" x14ac:dyDescent="0.3">
      <c r="B80" s="13"/>
      <c r="C80" s="72" t="s">
        <v>454</v>
      </c>
      <c r="D80" s="5"/>
      <c r="E80" s="5"/>
      <c r="F80" s="5"/>
      <c r="G80" s="5"/>
      <c r="H80" s="6"/>
      <c r="I80" s="5"/>
      <c r="J80" s="10"/>
      <c r="K80" s="18"/>
      <c r="L80" s="6"/>
    </row>
    <row r="81" spans="2:14" x14ac:dyDescent="0.3">
      <c r="B81" s="13"/>
      <c r="C81" s="11" t="s">
        <v>231</v>
      </c>
      <c r="D81" s="5"/>
      <c r="E81" s="5"/>
      <c r="F81" s="5"/>
      <c r="G81" s="5"/>
      <c r="H81" s="6"/>
      <c r="I81" s="21" t="s">
        <v>9</v>
      </c>
      <c r="J81" s="93">
        <f>'Take-off Quantities'!L18+'Take-off Quantities'!L19+'Take-off Quantities'!L21+'Take-off Quantities'!L22+'Take-off Quantities'!L24+'Take-off Quantities'!L25</f>
        <v>39.54</v>
      </c>
      <c r="K81" s="18">
        <v>51.24</v>
      </c>
      <c r="L81" s="23">
        <f>J81*K81</f>
        <v>2026.0296000000001</v>
      </c>
    </row>
    <row r="82" spans="2:14" x14ac:dyDescent="0.3">
      <c r="B82" s="13"/>
      <c r="C82" s="11"/>
      <c r="D82" s="5"/>
      <c r="E82" s="5"/>
      <c r="F82" s="5"/>
      <c r="G82" s="5"/>
      <c r="H82" s="6"/>
      <c r="I82" s="5"/>
      <c r="J82" s="10"/>
      <c r="K82" s="18"/>
      <c r="L82" s="6"/>
    </row>
    <row r="83" spans="2:14" x14ac:dyDescent="0.3">
      <c r="B83" s="13"/>
      <c r="C83" s="11" t="s">
        <v>163</v>
      </c>
      <c r="D83" s="5"/>
      <c r="E83" s="5"/>
      <c r="F83" s="5"/>
      <c r="G83" s="5"/>
      <c r="H83" s="6"/>
      <c r="I83" s="5"/>
      <c r="J83" s="10"/>
      <c r="K83" s="18"/>
      <c r="L83" s="6"/>
    </row>
    <row r="84" spans="2:14" x14ac:dyDescent="0.3">
      <c r="B84" s="13"/>
      <c r="C84" s="4" t="s">
        <v>173</v>
      </c>
      <c r="D84" s="5"/>
      <c r="E84" s="5"/>
      <c r="F84" s="5"/>
      <c r="G84" s="5"/>
      <c r="H84" s="6"/>
      <c r="I84" s="5"/>
      <c r="J84" s="10"/>
      <c r="K84" s="18"/>
      <c r="L84" s="6"/>
    </row>
    <row r="85" spans="2:14" x14ac:dyDescent="0.3">
      <c r="B85" s="13"/>
      <c r="C85" s="4" t="s">
        <v>174</v>
      </c>
      <c r="D85" s="5"/>
      <c r="E85" s="5"/>
      <c r="F85" s="5"/>
      <c r="G85" s="5"/>
      <c r="H85" s="6"/>
      <c r="I85" s="5" t="s">
        <v>10</v>
      </c>
      <c r="J85" s="10">
        <f>'Take-off Quantities'!M27*1.2</f>
        <v>155.03040000000001</v>
      </c>
      <c r="K85" s="18">
        <v>114.07</v>
      </c>
      <c r="L85" s="23">
        <f>J85*K85</f>
        <v>17684.317728000002</v>
      </c>
    </row>
    <row r="86" spans="2:14" x14ac:dyDescent="0.3">
      <c r="B86" s="13"/>
      <c r="C86" s="4"/>
      <c r="D86" s="5"/>
      <c r="E86" s="5"/>
      <c r="F86" s="5"/>
      <c r="G86" s="5"/>
      <c r="H86" s="6"/>
      <c r="I86" s="5"/>
      <c r="J86" s="10"/>
      <c r="K86" s="18"/>
      <c r="L86" s="6"/>
    </row>
    <row r="87" spans="2:14" x14ac:dyDescent="0.3">
      <c r="B87" s="13"/>
      <c r="C87" s="11" t="s">
        <v>164</v>
      </c>
      <c r="D87" s="5"/>
      <c r="E87" s="5"/>
      <c r="F87" s="5"/>
      <c r="G87" s="5"/>
      <c r="H87" s="6"/>
      <c r="I87" s="5"/>
      <c r="J87" s="10"/>
      <c r="K87" s="18"/>
      <c r="L87" s="6"/>
    </row>
    <row r="88" spans="2:14" x14ac:dyDescent="0.3">
      <c r="B88" s="13"/>
      <c r="C88" s="4" t="s">
        <v>165</v>
      </c>
      <c r="D88" s="5"/>
      <c r="E88" s="5"/>
      <c r="F88" s="5"/>
      <c r="G88" s="5"/>
      <c r="H88" s="6"/>
      <c r="I88" s="5"/>
      <c r="J88" s="10"/>
      <c r="K88" s="18"/>
      <c r="L88" s="23"/>
    </row>
    <row r="89" spans="2:14" x14ac:dyDescent="0.3">
      <c r="B89" s="13"/>
      <c r="C89" s="4" t="s">
        <v>227</v>
      </c>
      <c r="D89" s="5"/>
      <c r="E89" s="5"/>
      <c r="F89" s="5"/>
      <c r="G89" s="5"/>
      <c r="H89" s="6"/>
      <c r="I89" s="5" t="s">
        <v>10</v>
      </c>
      <c r="J89" s="10">
        <f>'Take-off Quantities'!M27*1.2</f>
        <v>155.03040000000001</v>
      </c>
      <c r="K89" s="18">
        <v>32.85</v>
      </c>
      <c r="L89" s="23">
        <f>J89*K89</f>
        <v>5092.7486400000007</v>
      </c>
    </row>
    <row r="90" spans="2:14" x14ac:dyDescent="0.3">
      <c r="B90" s="13"/>
      <c r="C90" s="4"/>
      <c r="D90" s="5"/>
      <c r="E90" s="5"/>
      <c r="F90" s="5"/>
      <c r="G90" s="5"/>
      <c r="H90" s="6"/>
      <c r="I90" s="5"/>
      <c r="J90" s="10"/>
      <c r="K90" s="18"/>
      <c r="L90" s="6"/>
    </row>
    <row r="91" spans="2:14" x14ac:dyDescent="0.3">
      <c r="B91" s="13"/>
      <c r="C91" s="4"/>
      <c r="D91" s="5"/>
      <c r="E91" s="5"/>
      <c r="F91" s="5"/>
      <c r="G91" s="5"/>
      <c r="H91" s="6"/>
      <c r="I91" s="5"/>
      <c r="J91" s="10"/>
      <c r="K91" s="18"/>
      <c r="L91" s="6"/>
    </row>
    <row r="92" spans="2:14" x14ac:dyDescent="0.3">
      <c r="B92" s="13"/>
      <c r="C92" s="4"/>
      <c r="D92" s="5"/>
      <c r="E92" s="5"/>
      <c r="F92" s="5"/>
      <c r="G92" s="5"/>
      <c r="H92" s="6"/>
      <c r="I92" s="5"/>
      <c r="J92" s="10"/>
      <c r="K92" s="18"/>
      <c r="L92" s="6"/>
    </row>
    <row r="93" spans="2:14" x14ac:dyDescent="0.3">
      <c r="B93" s="25"/>
      <c r="C93" s="26"/>
      <c r="D93" s="27"/>
      <c r="E93" s="27"/>
      <c r="F93" s="27"/>
      <c r="G93" s="27"/>
      <c r="H93" s="28"/>
      <c r="I93" s="27"/>
      <c r="J93" s="29"/>
      <c r="K93" s="30"/>
      <c r="L93" s="65">
        <f>SUM(L14:L77)</f>
        <v>153165.13243</v>
      </c>
    </row>
    <row r="94" spans="2:14" x14ac:dyDescent="0.3">
      <c r="B94" s="31"/>
      <c r="C94" s="5"/>
      <c r="D94" s="5"/>
      <c r="E94" s="5"/>
      <c r="F94" s="5"/>
      <c r="G94" s="5"/>
      <c r="H94" s="5"/>
      <c r="I94" s="5"/>
      <c r="J94" s="5"/>
      <c r="K94" s="32"/>
      <c r="L94" s="33"/>
      <c r="M94" s="5"/>
      <c r="N94" s="5"/>
    </row>
    <row r="95" spans="2:14" x14ac:dyDescent="0.3">
      <c r="B95" s="31"/>
      <c r="C95" s="5"/>
      <c r="D95" s="5"/>
      <c r="E95" s="5"/>
      <c r="F95" s="5"/>
      <c r="G95" s="5"/>
      <c r="H95" s="5"/>
      <c r="I95" s="5"/>
      <c r="J95" s="5"/>
      <c r="K95" s="32"/>
      <c r="L95" s="33"/>
      <c r="M95" s="5"/>
      <c r="N95" s="5"/>
    </row>
    <row r="96" spans="2:14" x14ac:dyDescent="0.3">
      <c r="B96" s="31"/>
      <c r="C96" s="5"/>
      <c r="D96" s="5"/>
      <c r="E96" s="5"/>
      <c r="F96" s="5"/>
      <c r="G96" s="5"/>
      <c r="H96" s="5"/>
      <c r="I96" s="5"/>
      <c r="J96" s="5"/>
      <c r="K96" s="32"/>
      <c r="L96" s="33"/>
      <c r="M96" s="5"/>
      <c r="N96" s="5"/>
    </row>
    <row r="97" spans="2:14" x14ac:dyDescent="0.3">
      <c r="B97" s="31"/>
      <c r="C97" s="5"/>
      <c r="D97" s="5"/>
      <c r="E97" s="5"/>
      <c r="F97" s="5"/>
      <c r="G97" s="95"/>
      <c r="H97" s="5"/>
      <c r="I97" s="5"/>
      <c r="J97" s="5"/>
      <c r="K97" s="32"/>
      <c r="L97" s="33"/>
      <c r="M97" s="5"/>
      <c r="N97" s="5"/>
    </row>
    <row r="98" spans="2:14" x14ac:dyDescent="0.3">
      <c r="B98" s="31"/>
      <c r="C98" s="5"/>
      <c r="D98" s="5"/>
      <c r="E98" s="5"/>
      <c r="F98" s="5"/>
      <c r="G98" s="5"/>
      <c r="H98" s="5"/>
      <c r="I98" s="5"/>
      <c r="J98" s="5"/>
      <c r="K98" s="32"/>
      <c r="L98" s="5"/>
      <c r="M98" s="5"/>
      <c r="N98" s="5"/>
    </row>
    <row r="99" spans="2:14" x14ac:dyDescent="0.3">
      <c r="B99" s="31"/>
      <c r="C99" s="5"/>
      <c r="D99" s="5"/>
      <c r="E99" s="5"/>
      <c r="F99" s="5"/>
      <c r="G99" s="5"/>
      <c r="H99" s="5"/>
      <c r="I99" s="5"/>
      <c r="J99" s="5"/>
      <c r="K99" s="32"/>
      <c r="L99" s="5"/>
      <c r="M99" s="5"/>
      <c r="N99" s="5"/>
    </row>
    <row r="100" spans="2:14" x14ac:dyDescent="0.3">
      <c r="B100" s="31"/>
      <c r="C100" s="5"/>
      <c r="D100" s="5"/>
      <c r="E100" s="5"/>
      <c r="F100" s="5"/>
      <c r="G100" s="96"/>
      <c r="H100" s="5"/>
      <c r="I100" s="5"/>
      <c r="J100" s="5"/>
      <c r="K100" s="32"/>
      <c r="L100" s="5"/>
      <c r="M100" s="5"/>
      <c r="N100" s="5"/>
    </row>
    <row r="101" spans="2:14" x14ac:dyDescent="0.3">
      <c r="B101" s="31"/>
      <c r="C101" s="5"/>
      <c r="D101" s="5"/>
      <c r="E101" s="5"/>
      <c r="F101" s="5"/>
      <c r="G101" s="95"/>
      <c r="H101" s="5"/>
      <c r="I101" s="5"/>
      <c r="J101" s="5"/>
      <c r="K101" s="32"/>
      <c r="L101" s="5"/>
      <c r="M101" s="5"/>
      <c r="N101" s="5"/>
    </row>
    <row r="102" spans="2:14" x14ac:dyDescent="0.3">
      <c r="B102" s="31"/>
      <c r="C102" s="5"/>
      <c r="D102" s="5"/>
      <c r="E102" s="5"/>
      <c r="F102" s="5"/>
      <c r="G102" s="97"/>
      <c r="H102" s="5"/>
      <c r="I102" s="5"/>
      <c r="J102" s="5"/>
      <c r="K102" s="32"/>
      <c r="L102" s="5"/>
      <c r="M102" s="5"/>
      <c r="N102" s="5"/>
    </row>
    <row r="103" spans="2:14" x14ac:dyDescent="0.3">
      <c r="B103" s="31"/>
      <c r="C103" s="5"/>
      <c r="D103" s="5"/>
      <c r="E103" s="5"/>
      <c r="F103" s="5"/>
      <c r="G103" s="5"/>
      <c r="H103" s="5"/>
      <c r="I103" s="5"/>
      <c r="J103" s="5"/>
      <c r="K103" s="32"/>
      <c r="L103" s="5"/>
      <c r="M103" s="5"/>
      <c r="N103" s="5"/>
    </row>
    <row r="104" spans="2:14" x14ac:dyDescent="0.3">
      <c r="B104" s="31"/>
      <c r="C104" s="5"/>
      <c r="D104" s="5"/>
      <c r="E104" s="5"/>
      <c r="F104" s="5"/>
      <c r="G104" s="5"/>
      <c r="H104" s="5"/>
      <c r="I104" s="5"/>
      <c r="J104" s="5"/>
      <c r="K104" s="32"/>
      <c r="L104" s="5"/>
      <c r="M104" s="5"/>
      <c r="N104" s="5"/>
    </row>
    <row r="105" spans="2:14" x14ac:dyDescent="0.3">
      <c r="B105" s="31"/>
      <c r="C105" s="5"/>
      <c r="D105" s="5"/>
      <c r="E105" s="5"/>
      <c r="F105" s="5"/>
      <c r="G105" s="5"/>
      <c r="H105" s="5"/>
      <c r="I105" s="5"/>
      <c r="J105" s="5"/>
      <c r="K105" s="32"/>
      <c r="L105" s="5"/>
      <c r="M105" s="5"/>
      <c r="N105" s="5"/>
    </row>
    <row r="106" spans="2:14" x14ac:dyDescent="0.3">
      <c r="B106" s="31"/>
      <c r="C106" s="5"/>
      <c r="D106" s="5"/>
      <c r="E106" s="5"/>
      <c r="F106" s="5"/>
      <c r="G106" s="5"/>
      <c r="H106" s="5"/>
      <c r="I106" s="5"/>
      <c r="J106" s="5"/>
      <c r="K106" s="32"/>
      <c r="L106" s="5"/>
      <c r="M106" s="5"/>
      <c r="N106" s="5"/>
    </row>
    <row r="107" spans="2:14" x14ac:dyDescent="0.3">
      <c r="B107" s="31"/>
      <c r="C107" s="5"/>
      <c r="D107" s="5"/>
      <c r="E107" s="5"/>
      <c r="F107" s="5"/>
      <c r="G107" s="5"/>
      <c r="H107" s="5"/>
      <c r="I107" s="5"/>
      <c r="J107" s="5"/>
      <c r="K107" s="32"/>
      <c r="L107" s="5"/>
      <c r="M107" s="5"/>
      <c r="N107" s="5"/>
    </row>
    <row r="108" spans="2:14" x14ac:dyDescent="0.3">
      <c r="B108" s="31"/>
      <c r="C108" s="5"/>
      <c r="D108" s="5"/>
      <c r="E108" s="5"/>
      <c r="F108" s="5"/>
      <c r="G108" s="5"/>
      <c r="H108" s="5"/>
      <c r="I108" s="5"/>
      <c r="J108" s="5"/>
      <c r="K108" s="32"/>
      <c r="L108" s="5"/>
      <c r="M108" s="5"/>
      <c r="N108" s="5"/>
    </row>
    <row r="109" spans="2:14" x14ac:dyDescent="0.3">
      <c r="B109" s="31"/>
      <c r="C109" s="5"/>
      <c r="D109" s="5"/>
      <c r="E109" s="5"/>
      <c r="F109" s="5"/>
      <c r="G109" s="5"/>
      <c r="H109" s="5"/>
      <c r="I109" s="5"/>
      <c r="J109" s="5"/>
      <c r="K109" s="32"/>
      <c r="L109" s="5"/>
      <c r="M109" s="5"/>
      <c r="N109" s="5"/>
    </row>
    <row r="110" spans="2:14" x14ac:dyDescent="0.3">
      <c r="B110" s="31"/>
      <c r="C110" s="5"/>
      <c r="D110" s="5"/>
      <c r="E110" s="5"/>
      <c r="F110" s="5"/>
      <c r="G110" s="5"/>
      <c r="H110" s="5"/>
      <c r="I110" s="5"/>
      <c r="J110" s="5"/>
      <c r="K110" s="32"/>
      <c r="L110" s="5"/>
      <c r="M110" s="5"/>
      <c r="N110" s="5"/>
    </row>
    <row r="111" spans="2:14" x14ac:dyDescent="0.3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 spans="2:14" x14ac:dyDescent="0.3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</row>
    <row r="113" spans="2:14" x14ac:dyDescent="0.3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 spans="2:14" x14ac:dyDescent="0.3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</row>
  </sheetData>
  <mergeCells count="7">
    <mergeCell ref="L7:L8"/>
    <mergeCell ref="B6:L6"/>
    <mergeCell ref="B7:B8"/>
    <mergeCell ref="C7:H8"/>
    <mergeCell ref="I7:I8"/>
    <mergeCell ref="J7:J8"/>
    <mergeCell ref="K7:K8"/>
  </mergeCells>
  <pageMargins left="0.7" right="0.7" top="0.75" bottom="0.75" header="0.3" footer="0.3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14"/>
  <sheetViews>
    <sheetView topLeftCell="B71" zoomScale="70" zoomScaleNormal="70" workbookViewId="0">
      <selection activeCell="L112" sqref="L112"/>
    </sheetView>
  </sheetViews>
  <sheetFormatPr defaultRowHeight="14.4" x14ac:dyDescent="0.3"/>
  <cols>
    <col min="1" max="1" width="4.21875" customWidth="1"/>
    <col min="2" max="2" width="11" customWidth="1"/>
    <col min="3" max="3" width="8.88671875" customWidth="1"/>
    <col min="8" max="8" width="7.109375" customWidth="1"/>
    <col min="11" max="11" width="11" customWidth="1"/>
    <col min="12" max="12" width="17.88671875" customWidth="1"/>
    <col min="13" max="13" width="2.44140625" customWidth="1"/>
    <col min="14" max="14" width="14.33203125" customWidth="1"/>
  </cols>
  <sheetData>
    <row r="2" spans="2:14" x14ac:dyDescent="0.3">
      <c r="B2" s="12" t="s">
        <v>0</v>
      </c>
      <c r="K2" s="19"/>
    </row>
    <row r="3" spans="2:14" x14ac:dyDescent="0.3">
      <c r="B3" s="12"/>
      <c r="K3" s="19"/>
    </row>
    <row r="4" spans="2:14" x14ac:dyDescent="0.3">
      <c r="B4" s="172" t="s">
        <v>407</v>
      </c>
      <c r="C4" s="173"/>
      <c r="D4" s="173"/>
      <c r="E4" s="173"/>
      <c r="F4" s="173"/>
      <c r="G4" s="173"/>
      <c r="H4" s="173"/>
      <c r="I4" s="173"/>
      <c r="J4" s="173"/>
      <c r="K4" s="173"/>
      <c r="L4" s="174"/>
    </row>
    <row r="5" spans="2:14" x14ac:dyDescent="0.3">
      <c r="B5" s="169" t="s">
        <v>1</v>
      </c>
      <c r="C5" s="169" t="s">
        <v>2</v>
      </c>
      <c r="D5" s="169"/>
      <c r="E5" s="169"/>
      <c r="F5" s="169"/>
      <c r="G5" s="169"/>
      <c r="H5" s="169"/>
      <c r="I5" s="169" t="s">
        <v>3</v>
      </c>
      <c r="J5" s="170" t="s">
        <v>4</v>
      </c>
      <c r="K5" s="171" t="s">
        <v>5</v>
      </c>
      <c r="L5" s="169" t="s">
        <v>6</v>
      </c>
    </row>
    <row r="6" spans="2:14" x14ac:dyDescent="0.3">
      <c r="B6" s="169"/>
      <c r="C6" s="169"/>
      <c r="D6" s="169"/>
      <c r="E6" s="169"/>
      <c r="F6" s="169"/>
      <c r="G6" s="169"/>
      <c r="H6" s="169"/>
      <c r="I6" s="169"/>
      <c r="J6" s="170"/>
      <c r="K6" s="171"/>
      <c r="L6" s="169"/>
    </row>
    <row r="7" spans="2:14" x14ac:dyDescent="0.3">
      <c r="B7" s="221"/>
      <c r="C7" s="1"/>
      <c r="D7" s="2"/>
      <c r="E7" s="2"/>
      <c r="F7" s="2"/>
      <c r="G7" s="2"/>
      <c r="H7" s="3"/>
      <c r="I7" s="5"/>
      <c r="J7" s="10"/>
      <c r="K7" s="18"/>
      <c r="L7" s="6"/>
    </row>
    <row r="8" spans="2:14" x14ac:dyDescent="0.3">
      <c r="B8" s="222"/>
      <c r="C8" s="11" t="s">
        <v>14</v>
      </c>
      <c r="D8" s="5"/>
      <c r="E8" s="5"/>
      <c r="F8" s="5"/>
      <c r="G8" s="5"/>
      <c r="H8" s="6"/>
      <c r="I8" s="5"/>
      <c r="J8" s="10"/>
      <c r="K8" s="18"/>
      <c r="L8" s="6"/>
    </row>
    <row r="9" spans="2:14" x14ac:dyDescent="0.3">
      <c r="B9" s="222"/>
      <c r="C9" s="4"/>
      <c r="D9" s="5"/>
      <c r="E9" s="5"/>
      <c r="F9" s="5"/>
      <c r="G9" s="5"/>
      <c r="H9" s="6"/>
      <c r="I9" s="5"/>
      <c r="J9" s="10"/>
      <c r="K9" s="18"/>
      <c r="L9" s="6"/>
    </row>
    <row r="10" spans="2:14" x14ac:dyDescent="0.3">
      <c r="B10" s="222"/>
      <c r="C10" s="175" t="s">
        <v>191</v>
      </c>
      <c r="D10" s="176"/>
      <c r="E10" s="176"/>
      <c r="F10" s="176"/>
      <c r="G10" s="176"/>
      <c r="H10" s="177"/>
      <c r="I10" s="5"/>
      <c r="J10" s="10"/>
      <c r="K10" s="18"/>
      <c r="L10" s="6"/>
    </row>
    <row r="11" spans="2:14" x14ac:dyDescent="0.3">
      <c r="B11" s="222" t="s">
        <v>362</v>
      </c>
      <c r="C11" s="11" t="s">
        <v>257</v>
      </c>
      <c r="D11" s="5"/>
      <c r="E11" s="5"/>
      <c r="F11" s="5"/>
      <c r="G11" s="5"/>
      <c r="H11" s="6"/>
      <c r="I11" s="5"/>
      <c r="J11" s="10"/>
      <c r="K11" s="18"/>
      <c r="L11" s="6"/>
    </row>
    <row r="12" spans="2:14" x14ac:dyDescent="0.3">
      <c r="B12" s="10"/>
      <c r="C12" s="11" t="s">
        <v>163</v>
      </c>
      <c r="D12" s="5"/>
      <c r="E12" s="5"/>
      <c r="F12" s="5"/>
      <c r="G12" s="5"/>
      <c r="H12" s="6"/>
      <c r="I12" s="5"/>
      <c r="J12" s="10"/>
      <c r="K12" s="18"/>
      <c r="L12" s="6"/>
    </row>
    <row r="13" spans="2:14" x14ac:dyDescent="0.3">
      <c r="B13" s="222"/>
      <c r="C13" s="4" t="s">
        <v>173</v>
      </c>
      <c r="D13" s="5"/>
      <c r="E13" s="5"/>
      <c r="F13" s="5"/>
      <c r="G13" s="5"/>
      <c r="H13" s="6"/>
      <c r="I13" s="5"/>
      <c r="J13" s="10"/>
      <c r="K13" s="18"/>
      <c r="L13" s="23"/>
    </row>
    <row r="14" spans="2:14" x14ac:dyDescent="0.3">
      <c r="B14" s="222"/>
      <c r="C14" s="4" t="s">
        <v>174</v>
      </c>
      <c r="D14" s="5"/>
      <c r="E14" s="5"/>
      <c r="F14" s="5"/>
      <c r="G14" s="5"/>
      <c r="H14" s="6"/>
      <c r="I14" s="5" t="s">
        <v>10</v>
      </c>
      <c r="J14" s="10">
        <f>'Take-off Quantities'!E5*0.75*0.45</f>
        <v>41.423400000000001</v>
      </c>
      <c r="K14" s="18">
        <v>114.07</v>
      </c>
      <c r="L14" s="23">
        <f>K14*J14</f>
        <v>4725.167238</v>
      </c>
      <c r="N14" s="24"/>
    </row>
    <row r="15" spans="2:14" x14ac:dyDescent="0.3">
      <c r="B15" s="222"/>
      <c r="C15" s="22"/>
      <c r="D15" s="5"/>
      <c r="E15" s="5"/>
      <c r="F15" s="5"/>
      <c r="G15" s="5"/>
      <c r="H15" s="6"/>
      <c r="I15" s="5"/>
      <c r="J15" s="10"/>
      <c r="K15" s="18"/>
      <c r="L15" s="6"/>
    </row>
    <row r="16" spans="2:14" x14ac:dyDescent="0.3">
      <c r="B16" s="222" t="s">
        <v>362</v>
      </c>
      <c r="C16" s="11" t="s">
        <v>255</v>
      </c>
      <c r="D16" s="5"/>
      <c r="E16" s="5"/>
      <c r="F16" s="5"/>
      <c r="G16" s="5"/>
      <c r="H16" s="6"/>
      <c r="I16" s="5"/>
      <c r="J16" s="10"/>
      <c r="K16" s="18"/>
      <c r="L16" s="23"/>
    </row>
    <row r="17" spans="2:12" x14ac:dyDescent="0.3">
      <c r="B17" s="222"/>
      <c r="C17" s="71" t="s">
        <v>165</v>
      </c>
      <c r="D17" s="5"/>
      <c r="E17" s="5"/>
      <c r="F17" s="5"/>
      <c r="G17" s="5"/>
      <c r="H17" s="6"/>
      <c r="I17" s="5"/>
      <c r="J17" s="10"/>
      <c r="K17" s="18"/>
      <c r="L17" s="6"/>
    </row>
    <row r="18" spans="2:12" x14ac:dyDescent="0.3">
      <c r="B18" s="222"/>
      <c r="C18" s="4" t="s">
        <v>227</v>
      </c>
      <c r="D18" s="5"/>
      <c r="E18" s="5"/>
      <c r="F18" s="5"/>
      <c r="G18" s="5"/>
      <c r="H18" s="6"/>
      <c r="I18" s="21" t="s">
        <v>10</v>
      </c>
      <c r="J18" s="10">
        <f>J14</f>
        <v>41.423400000000001</v>
      </c>
      <c r="K18" s="18">
        <v>32.85</v>
      </c>
      <c r="L18" s="23">
        <f>K18*J18</f>
        <v>1360.7586900000001</v>
      </c>
    </row>
    <row r="19" spans="2:12" x14ac:dyDescent="0.3">
      <c r="B19" s="222"/>
      <c r="C19" s="4"/>
      <c r="D19" s="5"/>
      <c r="E19" s="5"/>
      <c r="F19" s="5"/>
      <c r="G19" s="5"/>
      <c r="H19" s="6"/>
      <c r="I19" s="5"/>
      <c r="J19" s="10"/>
      <c r="K19" s="18"/>
      <c r="L19" s="6"/>
    </row>
    <row r="20" spans="2:12" x14ac:dyDescent="0.3">
      <c r="B20" s="222"/>
      <c r="C20" s="11"/>
      <c r="D20" s="5"/>
      <c r="E20" s="5"/>
      <c r="F20" s="5"/>
      <c r="G20" s="5"/>
      <c r="H20" s="6"/>
      <c r="I20" s="5"/>
      <c r="J20" s="10"/>
      <c r="K20" s="18"/>
      <c r="L20" s="6"/>
    </row>
    <row r="21" spans="2:12" x14ac:dyDescent="0.3">
      <c r="B21" s="222" t="s">
        <v>369</v>
      </c>
      <c r="C21" s="11" t="s">
        <v>256</v>
      </c>
      <c r="D21" s="5"/>
      <c r="E21" s="5"/>
      <c r="F21" s="5"/>
      <c r="G21" s="5"/>
      <c r="H21" s="6"/>
      <c r="I21" s="5"/>
      <c r="J21" s="10"/>
      <c r="K21" s="18"/>
      <c r="L21" s="6"/>
    </row>
    <row r="22" spans="2:12" x14ac:dyDescent="0.3">
      <c r="B22" s="222"/>
      <c r="C22" s="71" t="s">
        <v>167</v>
      </c>
      <c r="D22" s="5"/>
      <c r="E22" s="5"/>
      <c r="F22" s="5"/>
      <c r="G22" s="5"/>
      <c r="H22" s="6"/>
      <c r="I22" s="5"/>
      <c r="J22" s="10"/>
      <c r="K22" s="18"/>
      <c r="L22" s="6"/>
    </row>
    <row r="23" spans="2:12" x14ac:dyDescent="0.3">
      <c r="B23" s="222"/>
      <c r="C23" s="4" t="s">
        <v>168</v>
      </c>
      <c r="D23" s="5"/>
      <c r="E23" s="5"/>
      <c r="F23" s="5"/>
      <c r="G23" s="5"/>
      <c r="H23" s="6"/>
      <c r="I23" s="5"/>
      <c r="J23" s="10"/>
      <c r="K23" s="18"/>
      <c r="L23" s="23"/>
    </row>
    <row r="24" spans="2:12" x14ac:dyDescent="0.3">
      <c r="B24" s="222"/>
      <c r="C24" s="4" t="s">
        <v>169</v>
      </c>
      <c r="D24" s="5"/>
      <c r="E24" s="5"/>
      <c r="F24" s="5"/>
      <c r="G24" s="5"/>
      <c r="H24" s="6"/>
      <c r="I24" s="5"/>
      <c r="J24" s="10"/>
      <c r="K24" s="18"/>
      <c r="L24" s="23"/>
    </row>
    <row r="25" spans="2:12" x14ac:dyDescent="0.3">
      <c r="B25" s="222"/>
      <c r="C25" s="4"/>
      <c r="D25" s="5"/>
      <c r="E25" s="5"/>
      <c r="F25" s="5"/>
      <c r="G25" s="5"/>
      <c r="H25" s="6"/>
      <c r="I25" s="5"/>
      <c r="J25" s="10"/>
      <c r="K25" s="18"/>
      <c r="L25" s="23"/>
    </row>
    <row r="26" spans="2:12" x14ac:dyDescent="0.3">
      <c r="B26" s="222"/>
      <c r="C26" s="4" t="s">
        <v>170</v>
      </c>
      <c r="D26" s="5"/>
      <c r="E26" s="5"/>
      <c r="F26" s="5"/>
      <c r="G26" s="5"/>
      <c r="H26" s="6"/>
      <c r="I26" s="5"/>
      <c r="J26" s="10"/>
      <c r="K26" s="18"/>
      <c r="L26" s="6"/>
    </row>
    <row r="27" spans="2:12" x14ac:dyDescent="0.3">
      <c r="B27" s="222"/>
      <c r="C27" s="71" t="s">
        <v>171</v>
      </c>
      <c r="D27" s="5"/>
      <c r="E27" s="5"/>
      <c r="F27" s="5"/>
      <c r="G27" s="5"/>
      <c r="H27" s="6"/>
      <c r="I27" s="5"/>
      <c r="J27" s="10"/>
      <c r="K27" s="18"/>
      <c r="L27" s="23"/>
    </row>
    <row r="28" spans="2:12" x14ac:dyDescent="0.3">
      <c r="B28" s="222"/>
      <c r="C28" s="4" t="s">
        <v>230</v>
      </c>
      <c r="D28" s="5"/>
      <c r="E28" s="5"/>
      <c r="F28" s="5"/>
      <c r="G28" s="5"/>
      <c r="H28" s="6"/>
      <c r="I28" s="5" t="s">
        <v>172</v>
      </c>
      <c r="J28" s="10">
        <v>10</v>
      </c>
      <c r="K28" s="18">
        <v>1613.73</v>
      </c>
      <c r="L28" s="23">
        <f t="shared" ref="L28" si="0">K28*J28</f>
        <v>16137.3</v>
      </c>
    </row>
    <row r="29" spans="2:12" x14ac:dyDescent="0.3">
      <c r="B29" s="222"/>
      <c r="C29" s="4"/>
      <c r="D29" s="5"/>
      <c r="E29" s="5"/>
      <c r="F29" s="5"/>
      <c r="G29" s="5"/>
      <c r="H29" s="6"/>
      <c r="I29" s="5"/>
      <c r="J29" s="10"/>
      <c r="K29" s="18"/>
      <c r="L29" s="6"/>
    </row>
    <row r="30" spans="2:12" x14ac:dyDescent="0.3">
      <c r="B30" s="222" t="s">
        <v>399</v>
      </c>
      <c r="C30" s="11" t="s">
        <v>364</v>
      </c>
      <c r="D30" s="5"/>
      <c r="E30" s="5"/>
      <c r="F30" s="5"/>
      <c r="G30" s="5"/>
      <c r="H30" s="6"/>
      <c r="I30" s="5"/>
      <c r="J30" s="10"/>
      <c r="K30" s="18"/>
      <c r="L30" s="6"/>
    </row>
    <row r="31" spans="2:12" x14ac:dyDescent="0.3">
      <c r="B31" s="222"/>
      <c r="C31" s="4" t="s">
        <v>366</v>
      </c>
      <c r="D31" s="5"/>
      <c r="E31" s="5"/>
      <c r="F31" s="5"/>
      <c r="G31" s="5"/>
      <c r="H31" s="6"/>
      <c r="I31" s="5"/>
      <c r="J31" s="10"/>
      <c r="K31" s="18"/>
      <c r="L31" s="6"/>
    </row>
    <row r="32" spans="2:12" x14ac:dyDescent="0.3">
      <c r="B32" s="222"/>
      <c r="C32" s="4" t="s">
        <v>365</v>
      </c>
      <c r="D32" s="5"/>
      <c r="E32" s="5"/>
      <c r="F32" s="5"/>
      <c r="G32" s="5"/>
      <c r="H32" s="6"/>
      <c r="I32" s="5" t="s">
        <v>9</v>
      </c>
      <c r="J32" s="10">
        <f>'Take-off Quantities'!I6</f>
        <v>110.00250000000001</v>
      </c>
      <c r="K32" s="18">
        <v>13.48</v>
      </c>
      <c r="L32" s="23">
        <f t="shared" ref="L32" si="1">K32*J32</f>
        <v>1482.8337000000001</v>
      </c>
    </row>
    <row r="33" spans="2:12" x14ac:dyDescent="0.3">
      <c r="B33" s="222"/>
      <c r="C33" s="4"/>
      <c r="D33" s="5"/>
      <c r="E33" s="5"/>
      <c r="F33" s="5"/>
      <c r="G33" s="5"/>
      <c r="H33" s="6"/>
      <c r="I33" s="5"/>
      <c r="J33" s="10"/>
      <c r="K33" s="18"/>
      <c r="L33" s="6"/>
    </row>
    <row r="34" spans="2:12" x14ac:dyDescent="0.3">
      <c r="B34" s="222"/>
      <c r="C34" s="4"/>
      <c r="D34" s="5"/>
      <c r="E34" s="5"/>
      <c r="F34" s="5"/>
      <c r="G34" s="5"/>
      <c r="H34" s="6"/>
      <c r="I34" s="5"/>
      <c r="J34" s="10"/>
      <c r="K34" s="18"/>
      <c r="L34" s="6"/>
    </row>
    <row r="35" spans="2:12" x14ac:dyDescent="0.3">
      <c r="B35" s="222" t="s">
        <v>368</v>
      </c>
      <c r="C35" s="11" t="s">
        <v>259</v>
      </c>
      <c r="D35" s="5"/>
      <c r="E35" s="5"/>
      <c r="F35" s="5"/>
      <c r="G35" s="5"/>
      <c r="H35" s="6"/>
      <c r="I35" s="5"/>
      <c r="J35" s="10"/>
      <c r="K35" s="18"/>
      <c r="L35" s="6"/>
    </row>
    <row r="36" spans="2:12" x14ac:dyDescent="0.3">
      <c r="B36" s="222"/>
      <c r="C36" s="11" t="s">
        <v>260</v>
      </c>
      <c r="D36" s="5"/>
      <c r="E36" s="5"/>
      <c r="F36" s="5"/>
      <c r="G36" s="5"/>
      <c r="H36" s="6"/>
      <c r="I36" s="5"/>
      <c r="J36" s="10"/>
      <c r="K36" s="18"/>
      <c r="L36" s="6"/>
    </row>
    <row r="37" spans="2:12" x14ac:dyDescent="0.3">
      <c r="B37" s="222"/>
      <c r="C37" s="4" t="s">
        <v>261</v>
      </c>
      <c r="D37" s="5"/>
      <c r="E37" s="5"/>
      <c r="F37" s="5"/>
      <c r="G37" s="5"/>
      <c r="H37" s="6"/>
      <c r="I37" s="5"/>
      <c r="J37" s="10"/>
      <c r="K37" s="18"/>
      <c r="L37" s="6"/>
    </row>
    <row r="38" spans="2:12" x14ac:dyDescent="0.3">
      <c r="B38" s="222"/>
      <c r="C38" s="4" t="s">
        <v>262</v>
      </c>
      <c r="D38" s="5"/>
      <c r="E38" s="5"/>
      <c r="F38" s="5"/>
      <c r="G38" s="5"/>
      <c r="H38" s="6"/>
      <c r="I38" s="5" t="s">
        <v>9</v>
      </c>
      <c r="J38" s="178">
        <f>('Take-off Quantities'!I5*2)*0.75</f>
        <v>220.00500000000002</v>
      </c>
      <c r="K38" s="18">
        <v>66.069999999999993</v>
      </c>
      <c r="L38" s="23">
        <f>J38*K38</f>
        <v>14535.73035</v>
      </c>
    </row>
    <row r="39" spans="2:12" x14ac:dyDescent="0.3">
      <c r="B39" s="222"/>
      <c r="C39" s="4"/>
      <c r="D39" s="5"/>
      <c r="E39" s="5"/>
      <c r="F39" s="5"/>
      <c r="G39" s="5"/>
      <c r="H39" s="6"/>
      <c r="I39" s="5"/>
      <c r="J39" s="10"/>
      <c r="K39" s="18"/>
      <c r="L39" s="6"/>
    </row>
    <row r="40" spans="2:12" x14ac:dyDescent="0.3">
      <c r="B40" s="222"/>
      <c r="C40" s="4"/>
      <c r="D40" s="5"/>
      <c r="E40" s="5"/>
      <c r="F40" s="5"/>
      <c r="G40" s="5"/>
      <c r="H40" s="6"/>
      <c r="I40" s="5"/>
      <c r="J40" s="10"/>
      <c r="K40" s="18"/>
      <c r="L40" s="6"/>
    </row>
    <row r="41" spans="2:12" x14ac:dyDescent="0.3">
      <c r="B41" s="10"/>
      <c r="C41" s="72" t="s">
        <v>258</v>
      </c>
      <c r="D41" s="5"/>
      <c r="E41" s="5"/>
      <c r="F41" s="5"/>
      <c r="G41" s="5"/>
      <c r="H41" s="6"/>
      <c r="I41" s="5"/>
      <c r="J41" s="10"/>
      <c r="K41" s="18"/>
      <c r="L41" s="6"/>
    </row>
    <row r="42" spans="2:12" x14ac:dyDescent="0.3">
      <c r="B42" s="222" t="s">
        <v>400</v>
      </c>
      <c r="C42" s="11" t="s">
        <v>257</v>
      </c>
      <c r="D42" s="5"/>
      <c r="E42" s="5"/>
      <c r="F42" s="5"/>
      <c r="G42" s="5"/>
      <c r="H42" s="6"/>
      <c r="I42" s="5"/>
      <c r="J42" s="10"/>
      <c r="K42" s="18"/>
      <c r="L42" s="6"/>
    </row>
    <row r="43" spans="2:12" x14ac:dyDescent="0.3">
      <c r="B43" s="222"/>
      <c r="C43" s="11" t="s">
        <v>176</v>
      </c>
      <c r="D43" s="5"/>
      <c r="E43" s="5"/>
      <c r="F43" s="5"/>
      <c r="G43" s="5"/>
      <c r="H43" s="6"/>
      <c r="I43" s="5"/>
      <c r="J43" s="10"/>
      <c r="K43" s="18"/>
      <c r="L43" s="6"/>
    </row>
    <row r="44" spans="2:12" x14ac:dyDescent="0.3">
      <c r="B44" s="222"/>
      <c r="C44" s="4" t="s">
        <v>176</v>
      </c>
      <c r="D44" s="5"/>
      <c r="E44" s="5"/>
      <c r="F44" s="5"/>
      <c r="G44" s="5"/>
      <c r="H44" s="6"/>
      <c r="I44" s="5"/>
      <c r="J44" s="10"/>
      <c r="K44" s="18"/>
      <c r="L44" s="6"/>
    </row>
    <row r="45" spans="2:12" x14ac:dyDescent="0.3">
      <c r="B45" s="222"/>
      <c r="C45" s="4" t="s">
        <v>177</v>
      </c>
      <c r="D45" s="5"/>
      <c r="E45" s="5"/>
      <c r="F45" s="5"/>
      <c r="G45" s="5"/>
      <c r="H45" s="6"/>
      <c r="I45" s="5"/>
      <c r="J45" s="10"/>
      <c r="K45" s="18"/>
      <c r="L45" s="6"/>
    </row>
    <row r="46" spans="2:12" x14ac:dyDescent="0.3">
      <c r="B46" s="222"/>
      <c r="C46" s="4" t="s">
        <v>178</v>
      </c>
      <c r="D46" s="5"/>
      <c r="E46" s="5"/>
      <c r="F46" s="5"/>
      <c r="G46" s="5"/>
      <c r="H46" s="6"/>
      <c r="I46" s="5" t="s">
        <v>10</v>
      </c>
      <c r="J46" s="94">
        <f>(0.9*0.9*2)*5</f>
        <v>8.1000000000000014</v>
      </c>
      <c r="K46" s="18">
        <v>123.57</v>
      </c>
      <c r="L46" s="23">
        <f>J46*K46</f>
        <v>1000.9170000000001</v>
      </c>
    </row>
    <row r="47" spans="2:12" x14ac:dyDescent="0.3">
      <c r="B47" s="222"/>
      <c r="C47" s="4"/>
      <c r="D47" s="5"/>
      <c r="E47" s="5"/>
      <c r="F47" s="5"/>
      <c r="G47" s="5"/>
      <c r="H47" s="6"/>
      <c r="I47" s="5"/>
      <c r="J47" s="10"/>
      <c r="K47" s="18"/>
      <c r="L47" s="6"/>
    </row>
    <row r="48" spans="2:12" x14ac:dyDescent="0.3">
      <c r="B48" s="222" t="s">
        <v>370</v>
      </c>
      <c r="C48" s="11" t="s">
        <v>166</v>
      </c>
      <c r="D48" s="5"/>
      <c r="E48" s="5"/>
      <c r="F48" s="5"/>
      <c r="G48" s="5"/>
      <c r="H48" s="6"/>
      <c r="I48" s="5"/>
      <c r="J48" s="10"/>
      <c r="K48" s="18"/>
      <c r="L48" s="6"/>
    </row>
    <row r="49" spans="2:12" x14ac:dyDescent="0.3">
      <c r="B49" s="222"/>
      <c r="C49" s="4" t="s">
        <v>179</v>
      </c>
      <c r="D49" s="5"/>
      <c r="E49" s="5"/>
      <c r="F49" s="5"/>
      <c r="G49" s="5"/>
      <c r="H49" s="6"/>
      <c r="I49" s="5"/>
      <c r="J49" s="10"/>
      <c r="K49" s="18"/>
      <c r="L49" s="6"/>
    </row>
    <row r="50" spans="2:12" x14ac:dyDescent="0.3">
      <c r="B50" s="222"/>
      <c r="C50" s="4" t="s">
        <v>226</v>
      </c>
      <c r="D50" s="5"/>
      <c r="E50" s="5"/>
      <c r="F50" s="5"/>
      <c r="G50" s="5"/>
      <c r="H50" s="6"/>
      <c r="I50" s="5" t="s">
        <v>9</v>
      </c>
      <c r="J50" s="94">
        <f>J46*2</f>
        <v>16.200000000000003</v>
      </c>
      <c r="K50" s="18">
        <v>16.04</v>
      </c>
      <c r="L50" s="23">
        <f>J50*K50</f>
        <v>259.84800000000001</v>
      </c>
    </row>
    <row r="51" spans="2:12" x14ac:dyDescent="0.3">
      <c r="B51" s="222"/>
      <c r="C51" s="4"/>
      <c r="D51" s="5"/>
      <c r="E51" s="5"/>
      <c r="F51" s="5"/>
      <c r="G51" s="5"/>
      <c r="H51" s="6"/>
      <c r="I51" s="5"/>
      <c r="J51" s="10"/>
      <c r="K51" s="18"/>
      <c r="L51" s="6"/>
    </row>
    <row r="52" spans="2:12" x14ac:dyDescent="0.3">
      <c r="B52" s="222" t="s">
        <v>400</v>
      </c>
      <c r="C52" s="11" t="s">
        <v>164</v>
      </c>
      <c r="D52" s="5"/>
      <c r="E52" s="5"/>
      <c r="F52" s="5"/>
      <c r="G52" s="5"/>
      <c r="H52" s="6"/>
      <c r="I52" s="5"/>
      <c r="J52" s="10"/>
      <c r="K52" s="18"/>
      <c r="L52" s="6"/>
    </row>
    <row r="53" spans="2:12" x14ac:dyDescent="0.3">
      <c r="B53" s="222"/>
      <c r="C53" s="71" t="s">
        <v>165</v>
      </c>
      <c r="D53" s="5"/>
      <c r="E53" s="5"/>
      <c r="F53" s="5"/>
      <c r="G53" s="5"/>
      <c r="H53" s="6"/>
      <c r="I53" s="5"/>
      <c r="J53" s="10"/>
      <c r="K53" s="18"/>
      <c r="L53" s="23"/>
    </row>
    <row r="54" spans="2:12" x14ac:dyDescent="0.3">
      <c r="B54" s="222"/>
      <c r="C54" s="4" t="s">
        <v>175</v>
      </c>
      <c r="D54" s="5"/>
      <c r="E54" s="5"/>
      <c r="F54" s="5"/>
      <c r="G54" s="5"/>
      <c r="H54" s="6"/>
      <c r="I54" s="21" t="s">
        <v>10</v>
      </c>
      <c r="J54" s="94">
        <f>(0.9*0.9*2)*5</f>
        <v>8.1000000000000014</v>
      </c>
      <c r="K54" s="18">
        <v>37.21</v>
      </c>
      <c r="L54" s="23">
        <f>J54*K54</f>
        <v>301.40100000000007</v>
      </c>
    </row>
    <row r="55" spans="2:12" x14ac:dyDescent="0.3">
      <c r="B55" s="222"/>
      <c r="C55" s="4"/>
      <c r="D55" s="5"/>
      <c r="E55" s="5"/>
      <c r="F55" s="5"/>
      <c r="G55" s="5"/>
      <c r="H55" s="6"/>
      <c r="I55" s="5"/>
      <c r="J55" s="10"/>
      <c r="K55" s="18"/>
      <c r="L55" s="6"/>
    </row>
    <row r="56" spans="2:12" x14ac:dyDescent="0.3">
      <c r="B56" s="222" t="s">
        <v>368</v>
      </c>
      <c r="C56" s="11" t="s">
        <v>259</v>
      </c>
      <c r="D56" s="5"/>
      <c r="E56" s="5"/>
      <c r="F56" s="5"/>
      <c r="G56" s="5"/>
      <c r="H56" s="6"/>
      <c r="I56" s="5"/>
      <c r="J56" s="10"/>
      <c r="K56" s="18"/>
      <c r="L56" s="6"/>
    </row>
    <row r="57" spans="2:12" x14ac:dyDescent="0.3">
      <c r="B57" s="222"/>
      <c r="C57" s="11" t="s">
        <v>260</v>
      </c>
      <c r="D57" s="5"/>
      <c r="E57" s="5"/>
      <c r="F57" s="5"/>
      <c r="G57" s="5"/>
      <c r="H57" s="6"/>
      <c r="I57" s="5"/>
      <c r="J57" s="10"/>
      <c r="K57" s="18"/>
      <c r="L57" s="6"/>
    </row>
    <row r="58" spans="2:12" x14ac:dyDescent="0.3">
      <c r="B58" s="222"/>
      <c r="C58" s="4" t="s">
        <v>261</v>
      </c>
      <c r="D58" s="5"/>
      <c r="E58" s="5"/>
      <c r="F58" s="5"/>
      <c r="G58" s="5"/>
      <c r="H58" s="6"/>
      <c r="I58" s="5"/>
      <c r="J58" s="10"/>
      <c r="K58" s="18"/>
      <c r="L58" s="6"/>
    </row>
    <row r="59" spans="2:12" x14ac:dyDescent="0.3">
      <c r="B59" s="222"/>
      <c r="C59" s="4" t="s">
        <v>262</v>
      </c>
      <c r="D59" s="5"/>
      <c r="E59" s="5"/>
      <c r="F59" s="5"/>
      <c r="G59" s="5"/>
      <c r="H59" s="6"/>
      <c r="I59" s="5" t="s">
        <v>9</v>
      </c>
      <c r="J59" s="10">
        <f>(0.9*0.9)*5</f>
        <v>4.0500000000000007</v>
      </c>
      <c r="K59" s="18">
        <v>66.069999999999993</v>
      </c>
      <c r="L59" s="23">
        <f>J59*K59</f>
        <v>267.58350000000002</v>
      </c>
    </row>
    <row r="60" spans="2:12" x14ac:dyDescent="0.3">
      <c r="B60" s="222"/>
      <c r="C60" s="4"/>
      <c r="D60" s="5"/>
      <c r="E60" s="5"/>
      <c r="F60" s="5"/>
      <c r="G60" s="5"/>
      <c r="H60" s="6"/>
      <c r="I60" s="5"/>
      <c r="J60" s="10"/>
      <c r="K60" s="18"/>
      <c r="L60" s="6"/>
    </row>
    <row r="61" spans="2:12" x14ac:dyDescent="0.3">
      <c r="B61" s="10"/>
      <c r="C61" s="72" t="s">
        <v>449</v>
      </c>
      <c r="D61" s="5"/>
      <c r="E61" s="5"/>
      <c r="F61" s="5"/>
      <c r="G61" s="5"/>
      <c r="H61" s="6"/>
      <c r="I61" s="5"/>
      <c r="J61" s="10"/>
      <c r="K61" s="18"/>
      <c r="L61" s="6"/>
    </row>
    <row r="62" spans="2:12" x14ac:dyDescent="0.3">
      <c r="B62" s="222" t="s">
        <v>400</v>
      </c>
      <c r="C62" s="11" t="s">
        <v>257</v>
      </c>
      <c r="D62" s="5"/>
      <c r="E62" s="5"/>
      <c r="F62" s="5"/>
      <c r="G62" s="5"/>
      <c r="H62" s="6"/>
      <c r="I62" s="5"/>
      <c r="J62" s="10"/>
      <c r="K62" s="18"/>
      <c r="L62" s="6"/>
    </row>
    <row r="63" spans="2:12" x14ac:dyDescent="0.3">
      <c r="B63" s="222"/>
      <c r="C63" s="11" t="s">
        <v>176</v>
      </c>
      <c r="D63" s="5"/>
      <c r="E63" s="5"/>
      <c r="F63" s="5"/>
      <c r="G63" s="5"/>
      <c r="H63" s="6"/>
      <c r="I63" s="5"/>
      <c r="J63" s="10"/>
      <c r="K63" s="18"/>
      <c r="L63" s="6"/>
    </row>
    <row r="64" spans="2:12" x14ac:dyDescent="0.3">
      <c r="B64" s="222"/>
      <c r="C64" s="4" t="s">
        <v>176</v>
      </c>
      <c r="D64" s="5"/>
      <c r="E64" s="5"/>
      <c r="F64" s="5"/>
      <c r="G64" s="5"/>
      <c r="H64" s="6"/>
      <c r="I64" s="5"/>
      <c r="J64" s="10"/>
      <c r="K64" s="18"/>
      <c r="L64" s="6"/>
    </row>
    <row r="65" spans="2:12" x14ac:dyDescent="0.3">
      <c r="B65" s="222"/>
      <c r="C65" s="4" t="s">
        <v>177</v>
      </c>
      <c r="D65" s="5"/>
      <c r="E65" s="5"/>
      <c r="F65" s="5"/>
      <c r="G65" s="5"/>
      <c r="H65" s="6"/>
      <c r="I65" s="5"/>
      <c r="J65" s="10"/>
      <c r="K65" s="18"/>
      <c r="L65" s="6"/>
    </row>
    <row r="66" spans="2:12" x14ac:dyDescent="0.3">
      <c r="B66" s="222"/>
      <c r="C66" s="4" t="s">
        <v>178</v>
      </c>
      <c r="D66" s="5"/>
      <c r="E66" s="5"/>
      <c r="F66" s="5"/>
      <c r="G66" s="5"/>
      <c r="H66" s="6"/>
      <c r="I66" s="5" t="s">
        <v>10</v>
      </c>
      <c r="J66" s="94">
        <f>('Take-off Quantities'!L40+'Take-off Quantities'!L48)*0.25</f>
        <v>11.362500000000001</v>
      </c>
      <c r="K66" s="18">
        <v>123.57</v>
      </c>
      <c r="L66" s="23">
        <f>J66*K66</f>
        <v>1404.0641250000001</v>
      </c>
    </row>
    <row r="67" spans="2:12" x14ac:dyDescent="0.3">
      <c r="B67" s="222"/>
      <c r="C67" s="4"/>
      <c r="D67" s="5"/>
      <c r="E67" s="5"/>
      <c r="F67" s="5"/>
      <c r="G67" s="5"/>
      <c r="H67" s="6"/>
      <c r="I67" s="5"/>
      <c r="J67" s="10"/>
      <c r="K67" s="18"/>
      <c r="L67" s="6"/>
    </row>
    <row r="68" spans="2:12" x14ac:dyDescent="0.3">
      <c r="B68" s="222"/>
      <c r="C68" s="4"/>
      <c r="D68" s="5"/>
      <c r="E68" s="5"/>
      <c r="F68" s="5"/>
      <c r="G68" s="5"/>
      <c r="H68" s="6"/>
      <c r="I68" s="5"/>
      <c r="J68" s="10"/>
      <c r="K68" s="18"/>
      <c r="L68" s="6"/>
    </row>
    <row r="69" spans="2:12" x14ac:dyDescent="0.3">
      <c r="B69" s="222" t="s">
        <v>400</v>
      </c>
      <c r="C69" s="11" t="s">
        <v>164</v>
      </c>
      <c r="D69" s="5"/>
      <c r="E69" s="5"/>
      <c r="F69" s="5"/>
      <c r="G69" s="5"/>
      <c r="H69" s="6"/>
      <c r="I69" s="5"/>
      <c r="J69" s="10"/>
      <c r="K69" s="18"/>
      <c r="L69" s="6"/>
    </row>
    <row r="70" spans="2:12" x14ac:dyDescent="0.3">
      <c r="B70" s="222"/>
      <c r="C70" s="71" t="s">
        <v>165</v>
      </c>
      <c r="D70" s="5"/>
      <c r="E70" s="5"/>
      <c r="F70" s="5"/>
      <c r="G70" s="5"/>
      <c r="H70" s="6"/>
      <c r="I70" s="5"/>
      <c r="J70" s="10"/>
      <c r="K70" s="18"/>
      <c r="L70" s="23"/>
    </row>
    <row r="71" spans="2:12" x14ac:dyDescent="0.3">
      <c r="B71" s="222"/>
      <c r="C71" s="4" t="s">
        <v>175</v>
      </c>
      <c r="D71" s="5"/>
      <c r="E71" s="5"/>
      <c r="F71" s="5"/>
      <c r="G71" s="5"/>
      <c r="H71" s="6"/>
      <c r="I71" s="21" t="s">
        <v>10</v>
      </c>
      <c r="J71" s="94">
        <f>('Take-off Quantities'!L40+'Take-off Quantities'!L48)*0.25</f>
        <v>11.362500000000001</v>
      </c>
      <c r="K71" s="18">
        <v>37.21</v>
      </c>
      <c r="L71" s="23">
        <f>J71*K71</f>
        <v>422.79862500000002</v>
      </c>
    </row>
    <row r="72" spans="2:12" x14ac:dyDescent="0.3">
      <c r="B72" s="222"/>
      <c r="C72" s="4"/>
      <c r="D72" s="5"/>
      <c r="E72" s="5"/>
      <c r="F72" s="5"/>
      <c r="G72" s="5"/>
      <c r="H72" s="6"/>
      <c r="I72" s="5"/>
      <c r="J72" s="10"/>
      <c r="K72" s="18"/>
      <c r="L72" s="6"/>
    </row>
    <row r="73" spans="2:12" x14ac:dyDescent="0.3">
      <c r="B73" s="222" t="s">
        <v>368</v>
      </c>
      <c r="C73" s="11" t="s">
        <v>259</v>
      </c>
      <c r="D73" s="5"/>
      <c r="E73" s="5"/>
      <c r="F73" s="5"/>
      <c r="G73" s="5"/>
      <c r="H73" s="6"/>
      <c r="I73" s="5"/>
      <c r="J73" s="10"/>
      <c r="K73" s="18"/>
      <c r="L73" s="6"/>
    </row>
    <row r="74" spans="2:12" x14ac:dyDescent="0.3">
      <c r="B74" s="222"/>
      <c r="C74" s="11" t="s">
        <v>260</v>
      </c>
      <c r="D74" s="5"/>
      <c r="E74" s="5"/>
      <c r="F74" s="5"/>
      <c r="G74" s="5"/>
      <c r="H74" s="6"/>
      <c r="I74" s="5"/>
      <c r="J74" s="10"/>
      <c r="K74" s="18"/>
      <c r="L74" s="6"/>
    </row>
    <row r="75" spans="2:12" x14ac:dyDescent="0.3">
      <c r="B75" s="222"/>
      <c r="C75" s="4" t="s">
        <v>261</v>
      </c>
      <c r="D75" s="5"/>
      <c r="E75" s="5"/>
      <c r="F75" s="5"/>
      <c r="G75" s="5"/>
      <c r="H75" s="6"/>
      <c r="I75" s="5"/>
      <c r="J75" s="10"/>
      <c r="K75" s="18"/>
      <c r="L75" s="6"/>
    </row>
    <row r="76" spans="2:12" x14ac:dyDescent="0.3">
      <c r="B76" s="222"/>
      <c r="C76" s="4" t="s">
        <v>262</v>
      </c>
      <c r="D76" s="5"/>
      <c r="E76" s="5"/>
      <c r="F76" s="5"/>
      <c r="G76" s="5"/>
      <c r="H76" s="6"/>
      <c r="I76" s="5" t="s">
        <v>9</v>
      </c>
      <c r="J76" s="10">
        <f>('Take-off Quantities'!L40+'Take-off Quantities'!L48)*1</f>
        <v>45.45</v>
      </c>
      <c r="K76" s="18">
        <v>66.069999999999993</v>
      </c>
      <c r="L76" s="23">
        <f>J76*K76</f>
        <v>3002.8815</v>
      </c>
    </row>
    <row r="77" spans="2:12" x14ac:dyDescent="0.3">
      <c r="B77" s="222"/>
      <c r="C77" s="4"/>
      <c r="D77" s="5"/>
      <c r="E77" s="5"/>
      <c r="F77" s="5"/>
      <c r="G77" s="5"/>
      <c r="H77" s="6"/>
      <c r="I77" s="5"/>
      <c r="J77" s="10"/>
      <c r="K77" s="18"/>
      <c r="L77" s="6"/>
    </row>
    <row r="78" spans="2:12" x14ac:dyDescent="0.3">
      <c r="B78" s="222"/>
      <c r="C78" s="72" t="s">
        <v>335</v>
      </c>
      <c r="D78" s="5"/>
      <c r="E78" s="5"/>
      <c r="F78" s="5"/>
      <c r="G78" s="5"/>
      <c r="H78" s="6"/>
      <c r="I78" s="5"/>
      <c r="J78" s="10"/>
      <c r="K78" s="18"/>
      <c r="L78" s="6"/>
    </row>
    <row r="79" spans="2:12" x14ac:dyDescent="0.3">
      <c r="B79" s="222" t="s">
        <v>401</v>
      </c>
      <c r="C79" s="11" t="s">
        <v>257</v>
      </c>
      <c r="D79" s="5"/>
      <c r="E79" s="5"/>
      <c r="F79" s="5"/>
      <c r="G79" s="5"/>
      <c r="H79" s="6"/>
      <c r="I79" s="5"/>
      <c r="J79" s="10"/>
      <c r="K79" s="18"/>
      <c r="L79" s="6"/>
    </row>
    <row r="80" spans="2:12" x14ac:dyDescent="0.3">
      <c r="B80" s="222"/>
      <c r="C80" s="11" t="s">
        <v>176</v>
      </c>
      <c r="D80" s="5"/>
      <c r="E80" s="5"/>
      <c r="F80" s="5"/>
      <c r="G80" s="5"/>
      <c r="H80" s="6"/>
      <c r="I80" s="5"/>
      <c r="J80" s="10"/>
      <c r="K80" s="18"/>
      <c r="L80" s="6"/>
    </row>
    <row r="81" spans="2:12" x14ac:dyDescent="0.3">
      <c r="B81" s="222"/>
      <c r="C81" s="4" t="s">
        <v>177</v>
      </c>
      <c r="D81" s="5"/>
      <c r="E81" s="5"/>
      <c r="F81" s="5"/>
      <c r="G81" s="5"/>
      <c r="H81" s="6"/>
      <c r="I81" s="5"/>
      <c r="J81" s="10"/>
      <c r="K81" s="18"/>
      <c r="L81" s="6"/>
    </row>
    <row r="82" spans="2:12" x14ac:dyDescent="0.3">
      <c r="B82" s="222"/>
      <c r="C82" s="4" t="s">
        <v>178</v>
      </c>
      <c r="D82" s="5"/>
      <c r="E82" s="5"/>
      <c r="F82" s="5"/>
      <c r="G82" s="5"/>
      <c r="H82" s="6"/>
      <c r="I82" s="5" t="s">
        <v>10</v>
      </c>
      <c r="J82" s="94">
        <f>'Take-off Quantities'!L13</f>
        <v>2.3000000000000003</v>
      </c>
      <c r="K82" s="18">
        <v>123.57</v>
      </c>
      <c r="L82" s="23">
        <f>J82*K82</f>
        <v>284.21100000000001</v>
      </c>
    </row>
    <row r="83" spans="2:12" x14ac:dyDescent="0.3">
      <c r="B83" s="222"/>
      <c r="C83" s="4"/>
      <c r="D83" s="5"/>
      <c r="E83" s="5"/>
      <c r="F83" s="5"/>
      <c r="G83" s="5"/>
      <c r="H83" s="6"/>
      <c r="I83" s="5"/>
      <c r="J83" s="10"/>
      <c r="K83" s="18"/>
      <c r="L83" s="6"/>
    </row>
    <row r="84" spans="2:12" x14ac:dyDescent="0.3">
      <c r="B84" s="222" t="s">
        <v>370</v>
      </c>
      <c r="C84" s="11" t="s">
        <v>256</v>
      </c>
      <c r="D84" s="5"/>
      <c r="E84" s="5"/>
      <c r="F84" s="5"/>
      <c r="G84" s="5"/>
      <c r="H84" s="6"/>
      <c r="I84" s="5"/>
      <c r="J84" s="10"/>
      <c r="K84" s="18"/>
      <c r="L84" s="6"/>
    </row>
    <row r="85" spans="2:12" x14ac:dyDescent="0.3">
      <c r="B85" s="222"/>
      <c r="C85" s="4" t="s">
        <v>179</v>
      </c>
      <c r="D85" s="5"/>
      <c r="E85" s="5"/>
      <c r="F85" s="5"/>
      <c r="G85" s="5"/>
      <c r="H85" s="6"/>
      <c r="I85" s="5"/>
      <c r="J85" s="10"/>
      <c r="K85" s="18"/>
      <c r="L85" s="6"/>
    </row>
    <row r="86" spans="2:12" x14ac:dyDescent="0.3">
      <c r="B86" s="222"/>
      <c r="C86" s="4" t="s">
        <v>226</v>
      </c>
      <c r="D86" s="5"/>
      <c r="E86" s="5"/>
      <c r="F86" s="5"/>
      <c r="G86" s="5"/>
      <c r="H86" s="6"/>
      <c r="I86" s="5" t="s">
        <v>9</v>
      </c>
      <c r="J86" s="94">
        <f>'Take-off Quantities'!L14 *2</f>
        <v>23</v>
      </c>
      <c r="K86" s="18">
        <v>16.04</v>
      </c>
      <c r="L86" s="23">
        <f>J86*K86</f>
        <v>368.91999999999996</v>
      </c>
    </row>
    <row r="87" spans="2:12" x14ac:dyDescent="0.3">
      <c r="B87" s="222"/>
      <c r="C87" s="4"/>
      <c r="D87" s="5"/>
      <c r="E87" s="5"/>
      <c r="F87" s="5"/>
      <c r="G87" s="5"/>
      <c r="H87" s="6"/>
      <c r="I87" s="5"/>
      <c r="J87" s="10"/>
      <c r="K87" s="18"/>
      <c r="L87" s="6"/>
    </row>
    <row r="88" spans="2:12" x14ac:dyDescent="0.3">
      <c r="B88" s="222" t="s">
        <v>401</v>
      </c>
      <c r="C88" s="11" t="s">
        <v>255</v>
      </c>
      <c r="D88" s="5"/>
      <c r="E88" s="5"/>
      <c r="F88" s="5"/>
      <c r="G88" s="5"/>
      <c r="H88" s="6"/>
      <c r="I88" s="5"/>
      <c r="J88" s="10"/>
      <c r="K88" s="18"/>
      <c r="L88" s="6"/>
    </row>
    <row r="89" spans="2:12" x14ac:dyDescent="0.3">
      <c r="B89" s="222"/>
      <c r="C89" s="71" t="s">
        <v>165</v>
      </c>
      <c r="D89" s="5"/>
      <c r="E89" s="5"/>
      <c r="F89" s="5"/>
      <c r="G89" s="5"/>
      <c r="H89" s="6"/>
      <c r="I89" s="5"/>
      <c r="J89" s="10"/>
      <c r="K89" s="18"/>
      <c r="L89" s="23"/>
    </row>
    <row r="90" spans="2:12" x14ac:dyDescent="0.3">
      <c r="B90" s="222"/>
      <c r="C90" s="4" t="s">
        <v>175</v>
      </c>
      <c r="D90" s="5"/>
      <c r="E90" s="5"/>
      <c r="F90" s="5"/>
      <c r="G90" s="5"/>
      <c r="H90" s="6"/>
      <c r="I90" s="21" t="s">
        <v>10</v>
      </c>
      <c r="J90" s="94">
        <f>J82</f>
        <v>2.3000000000000003</v>
      </c>
      <c r="K90" s="18">
        <v>37.21</v>
      </c>
      <c r="L90" s="23">
        <f>J90*K90</f>
        <v>85.583000000000013</v>
      </c>
    </row>
    <row r="91" spans="2:12" x14ac:dyDescent="0.3">
      <c r="B91" s="222"/>
      <c r="C91" s="4"/>
      <c r="D91" s="5"/>
      <c r="E91" s="5"/>
      <c r="F91" s="5"/>
      <c r="G91" s="5"/>
      <c r="H91" s="6"/>
      <c r="I91" s="5"/>
      <c r="J91" s="10"/>
      <c r="K91" s="18"/>
      <c r="L91" s="6"/>
    </row>
    <row r="92" spans="2:12" x14ac:dyDescent="0.3">
      <c r="B92" s="222"/>
      <c r="C92" s="4"/>
      <c r="D92" s="5"/>
      <c r="E92" s="5"/>
      <c r="F92" s="5"/>
      <c r="G92" s="5"/>
      <c r="H92" s="6"/>
      <c r="I92" s="5"/>
      <c r="J92" s="10"/>
      <c r="K92" s="18"/>
      <c r="L92" s="6"/>
    </row>
    <row r="93" spans="2:12" x14ac:dyDescent="0.3">
      <c r="B93" s="222"/>
      <c r="C93" s="72" t="s">
        <v>192</v>
      </c>
      <c r="D93" s="5"/>
      <c r="E93" s="5"/>
      <c r="F93" s="5"/>
      <c r="G93" s="5"/>
      <c r="H93" s="6"/>
      <c r="I93" s="5"/>
      <c r="J93" s="10"/>
      <c r="K93" s="18"/>
      <c r="L93" s="6"/>
    </row>
    <row r="94" spans="2:12" x14ac:dyDescent="0.3">
      <c r="B94" s="222" t="s">
        <v>401</v>
      </c>
      <c r="C94" s="11" t="s">
        <v>257</v>
      </c>
      <c r="D94" s="5"/>
      <c r="E94" s="5"/>
      <c r="F94" s="5"/>
      <c r="G94" s="5"/>
      <c r="H94" s="6"/>
      <c r="I94" s="5"/>
      <c r="J94" s="10"/>
      <c r="K94" s="18"/>
      <c r="L94" s="6"/>
    </row>
    <row r="95" spans="2:12" x14ac:dyDescent="0.3">
      <c r="B95" s="222"/>
      <c r="C95" s="11" t="s">
        <v>176</v>
      </c>
      <c r="D95" s="5"/>
      <c r="E95" s="5"/>
      <c r="F95" s="5"/>
      <c r="G95" s="5"/>
      <c r="H95" s="6"/>
      <c r="I95" s="5"/>
      <c r="J95" s="10"/>
      <c r="K95" s="18"/>
      <c r="L95" s="6"/>
    </row>
    <row r="96" spans="2:12" x14ac:dyDescent="0.3">
      <c r="B96" s="222"/>
      <c r="C96" s="4" t="s">
        <v>177</v>
      </c>
      <c r="D96" s="5"/>
      <c r="E96" s="5"/>
      <c r="F96" s="5"/>
      <c r="G96" s="5"/>
      <c r="H96" s="6"/>
      <c r="I96" s="5"/>
      <c r="J96" s="10"/>
      <c r="K96" s="18"/>
      <c r="L96" s="6"/>
    </row>
    <row r="97" spans="2:14" x14ac:dyDescent="0.3">
      <c r="B97" s="222"/>
      <c r="C97" s="4" t="s">
        <v>178</v>
      </c>
      <c r="D97" s="5"/>
      <c r="E97" s="5"/>
      <c r="F97" s="5"/>
      <c r="G97" s="5"/>
      <c r="H97" s="6"/>
      <c r="I97" s="5" t="s">
        <v>10</v>
      </c>
      <c r="J97" s="94">
        <f>'Take-off Quantities'!L6</f>
        <v>124.42301999999999</v>
      </c>
      <c r="K97" s="18">
        <v>123.57</v>
      </c>
      <c r="L97" s="23">
        <f>J97*K97</f>
        <v>15374.952581399999</v>
      </c>
    </row>
    <row r="98" spans="2:14" x14ac:dyDescent="0.3">
      <c r="B98" s="222"/>
      <c r="C98" s="4"/>
      <c r="D98" s="5"/>
      <c r="E98" s="5"/>
      <c r="F98" s="5"/>
      <c r="G98" s="5"/>
      <c r="H98" s="6"/>
      <c r="I98" s="5"/>
      <c r="J98" s="10"/>
      <c r="K98" s="18"/>
      <c r="L98" s="6"/>
    </row>
    <row r="99" spans="2:14" x14ac:dyDescent="0.3">
      <c r="B99" s="222" t="s">
        <v>370</v>
      </c>
      <c r="C99" s="11" t="s">
        <v>256</v>
      </c>
      <c r="D99" s="5"/>
      <c r="E99" s="5"/>
      <c r="F99" s="5"/>
      <c r="G99" s="5"/>
      <c r="H99" s="6"/>
      <c r="I99" s="5"/>
      <c r="J99" s="10"/>
      <c r="K99" s="18"/>
      <c r="L99" s="6"/>
    </row>
    <row r="100" spans="2:14" x14ac:dyDescent="0.3">
      <c r="B100" s="222"/>
      <c r="C100" s="4" t="s">
        <v>179</v>
      </c>
      <c r="D100" s="5"/>
      <c r="E100" s="5"/>
      <c r="F100" s="5"/>
      <c r="G100" s="5"/>
      <c r="H100" s="6"/>
      <c r="I100" s="5"/>
      <c r="J100" s="10"/>
      <c r="K100" s="18"/>
      <c r="L100" s="6"/>
    </row>
    <row r="101" spans="2:14" x14ac:dyDescent="0.3">
      <c r="B101" s="222"/>
      <c r="C101" s="4" t="s">
        <v>226</v>
      </c>
      <c r="D101" s="5"/>
      <c r="E101" s="5"/>
      <c r="F101" s="5"/>
      <c r="G101" s="5"/>
      <c r="H101" s="6"/>
      <c r="I101" s="5" t="s">
        <v>9</v>
      </c>
      <c r="J101" s="94">
        <f>'Take-off Quantities'!L7</f>
        <v>829.48680000000002</v>
      </c>
      <c r="K101" s="18">
        <v>16.04</v>
      </c>
      <c r="L101" s="23">
        <f>J101*K101</f>
        <v>13304.968272</v>
      </c>
    </row>
    <row r="102" spans="2:14" x14ac:dyDescent="0.3">
      <c r="B102" s="222"/>
      <c r="C102" s="4"/>
      <c r="D102" s="5"/>
      <c r="E102" s="5"/>
      <c r="F102" s="5"/>
      <c r="G102" s="5"/>
      <c r="H102" s="6"/>
      <c r="I102" s="5"/>
      <c r="J102" s="10"/>
      <c r="K102" s="18"/>
      <c r="L102" s="6"/>
    </row>
    <row r="103" spans="2:14" x14ac:dyDescent="0.3">
      <c r="B103" s="222" t="s">
        <v>401</v>
      </c>
      <c r="C103" s="11" t="s">
        <v>255</v>
      </c>
      <c r="D103" s="5"/>
      <c r="E103" s="5"/>
      <c r="F103" s="5"/>
      <c r="G103" s="5"/>
      <c r="H103" s="6"/>
      <c r="I103" s="5"/>
      <c r="J103" s="10"/>
      <c r="K103" s="18"/>
      <c r="L103" s="6"/>
    </row>
    <row r="104" spans="2:14" x14ac:dyDescent="0.3">
      <c r="B104" s="222"/>
      <c r="C104" s="71" t="s">
        <v>165</v>
      </c>
      <c r="D104" s="5"/>
      <c r="E104" s="5"/>
      <c r="F104" s="5"/>
      <c r="G104" s="5"/>
      <c r="H104" s="6"/>
      <c r="I104" s="5"/>
      <c r="J104" s="10"/>
      <c r="K104" s="18"/>
      <c r="L104" s="23"/>
    </row>
    <row r="105" spans="2:14" x14ac:dyDescent="0.3">
      <c r="B105" s="222"/>
      <c r="C105" s="4" t="s">
        <v>175</v>
      </c>
      <c r="D105" s="5"/>
      <c r="E105" s="5"/>
      <c r="F105" s="5"/>
      <c r="G105" s="5"/>
      <c r="H105" s="6"/>
      <c r="I105" s="21" t="s">
        <v>10</v>
      </c>
      <c r="J105" s="94">
        <f>J97</f>
        <v>124.42301999999999</v>
      </c>
      <c r="K105" s="18">
        <v>37.21</v>
      </c>
      <c r="L105" s="23">
        <f>J105*K105</f>
        <v>4629.7805742</v>
      </c>
    </row>
    <row r="106" spans="2:14" x14ac:dyDescent="0.3">
      <c r="B106" s="222"/>
      <c r="C106" s="4"/>
      <c r="D106" s="5"/>
      <c r="E106" s="5"/>
      <c r="F106" s="5"/>
      <c r="G106" s="5"/>
      <c r="H106" s="6"/>
      <c r="I106" s="5"/>
      <c r="J106" s="10"/>
      <c r="K106" s="18"/>
      <c r="L106" s="6"/>
    </row>
    <row r="107" spans="2:14" x14ac:dyDescent="0.3">
      <c r="B107" s="222" t="s">
        <v>363</v>
      </c>
      <c r="C107" s="11" t="s">
        <v>292</v>
      </c>
      <c r="D107" s="5"/>
      <c r="E107" s="5"/>
      <c r="F107" s="5"/>
      <c r="G107" s="5"/>
      <c r="H107" s="6"/>
      <c r="I107" s="5"/>
      <c r="J107" s="10"/>
      <c r="K107" s="18"/>
      <c r="L107" s="6"/>
    </row>
    <row r="108" spans="2:14" x14ac:dyDescent="0.3">
      <c r="B108" s="222"/>
      <c r="C108" s="4" t="s">
        <v>293</v>
      </c>
      <c r="D108" s="5"/>
      <c r="E108" s="5"/>
      <c r="F108" s="5"/>
      <c r="G108" s="5"/>
      <c r="H108" s="6"/>
      <c r="I108" s="5" t="s">
        <v>9</v>
      </c>
      <c r="J108" s="10">
        <f>'Take-off Quantities'!L7</f>
        <v>829.48680000000002</v>
      </c>
      <c r="K108" s="18">
        <v>3</v>
      </c>
      <c r="L108" s="23">
        <f>J108*K108</f>
        <v>2488.4603999999999</v>
      </c>
    </row>
    <row r="109" spans="2:14" x14ac:dyDescent="0.3">
      <c r="B109" s="222"/>
      <c r="C109" s="4"/>
      <c r="D109" s="5"/>
      <c r="E109" s="5"/>
      <c r="F109" s="5"/>
      <c r="G109" s="5"/>
      <c r="H109" s="6"/>
      <c r="I109" s="5"/>
      <c r="J109" s="10"/>
      <c r="K109" s="18"/>
      <c r="L109" s="6"/>
    </row>
    <row r="110" spans="2:14" x14ac:dyDescent="0.3">
      <c r="B110" s="223"/>
      <c r="C110" s="4"/>
      <c r="D110" s="5"/>
      <c r="E110" s="5"/>
      <c r="F110" s="5"/>
      <c r="G110" s="5"/>
      <c r="H110" s="6"/>
      <c r="I110" s="5"/>
      <c r="J110" s="10"/>
      <c r="K110" s="18"/>
      <c r="L110" s="6"/>
    </row>
    <row r="111" spans="2:14" x14ac:dyDescent="0.3">
      <c r="B111" s="25"/>
      <c r="C111" s="26"/>
      <c r="D111" s="27"/>
      <c r="E111" s="27"/>
      <c r="F111" s="27"/>
      <c r="G111" s="27"/>
      <c r="H111" s="28"/>
      <c r="I111" s="27"/>
      <c r="J111" s="29"/>
      <c r="K111" s="30"/>
      <c r="L111" s="65">
        <f>SUM(L13:L109)</f>
        <v>81438.15955560001</v>
      </c>
    </row>
    <row r="112" spans="2:14" x14ac:dyDescent="0.3">
      <c r="B112" s="31"/>
      <c r="C112" s="5"/>
      <c r="D112" s="5"/>
      <c r="E112" s="5"/>
      <c r="F112" s="5"/>
      <c r="G112" s="5"/>
      <c r="H112" s="5"/>
      <c r="I112" s="5"/>
      <c r="J112" s="5"/>
      <c r="K112" s="32"/>
      <c r="L112" s="33"/>
      <c r="M112" s="5"/>
      <c r="N112" s="5"/>
    </row>
    <row r="113" spans="2:14" x14ac:dyDescent="0.3">
      <c r="B113" s="31"/>
      <c r="C113" s="5"/>
      <c r="D113" s="5"/>
      <c r="E113" s="5"/>
      <c r="F113" s="5"/>
      <c r="G113" s="5"/>
      <c r="H113" s="5"/>
      <c r="I113" s="5"/>
      <c r="J113" s="5"/>
      <c r="K113" s="32"/>
      <c r="L113" s="33"/>
      <c r="M113" s="5"/>
      <c r="N113" s="5"/>
    </row>
    <row r="114" spans="2:14" x14ac:dyDescent="0.3">
      <c r="B114" s="31"/>
      <c r="C114" s="5"/>
      <c r="D114" s="5"/>
      <c r="E114" s="5"/>
      <c r="F114" s="5"/>
      <c r="G114" s="5"/>
      <c r="H114" s="5"/>
      <c r="I114" s="5"/>
      <c r="J114" s="5"/>
      <c r="K114" s="32"/>
      <c r="L114" s="33"/>
      <c r="M114" s="5"/>
      <c r="N114" s="5"/>
    </row>
  </sheetData>
  <mergeCells count="8">
    <mergeCell ref="C10:H10"/>
    <mergeCell ref="B4:L4"/>
    <mergeCell ref="B5:B6"/>
    <mergeCell ref="C5:H6"/>
    <mergeCell ref="I5:I6"/>
    <mergeCell ref="J5:J6"/>
    <mergeCell ref="K5:K6"/>
    <mergeCell ref="L5:L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8"/>
  <sheetViews>
    <sheetView topLeftCell="A2" zoomScale="85" zoomScaleNormal="85" workbookViewId="0">
      <selection activeCell="J36" sqref="J35:J36"/>
    </sheetView>
  </sheetViews>
  <sheetFormatPr defaultRowHeight="14.4" x14ac:dyDescent="0.3"/>
  <cols>
    <col min="1" max="1" width="3.21875" customWidth="1"/>
    <col min="2" max="2" width="8.6640625" customWidth="1"/>
    <col min="3" max="3" width="8.88671875" customWidth="1"/>
    <col min="8" max="8" width="7.109375" customWidth="1"/>
    <col min="11" max="11" width="11" customWidth="1"/>
    <col min="12" max="12" width="17.88671875" customWidth="1"/>
    <col min="13" max="13" width="2.44140625" customWidth="1"/>
    <col min="14" max="14" width="14.33203125" customWidth="1"/>
  </cols>
  <sheetData>
    <row r="2" spans="2:12" x14ac:dyDescent="0.3">
      <c r="B2" s="12" t="s">
        <v>0</v>
      </c>
      <c r="K2" s="19"/>
    </row>
    <row r="3" spans="2:12" x14ac:dyDescent="0.3">
      <c r="B3" s="12"/>
      <c r="K3" s="19"/>
    </row>
    <row r="4" spans="2:12" x14ac:dyDescent="0.3">
      <c r="B4" s="172" t="s">
        <v>408</v>
      </c>
      <c r="C4" s="173"/>
      <c r="D4" s="173"/>
      <c r="E4" s="173"/>
      <c r="F4" s="173"/>
      <c r="G4" s="173"/>
      <c r="H4" s="173"/>
      <c r="I4" s="173"/>
      <c r="J4" s="173"/>
      <c r="K4" s="173"/>
      <c r="L4" s="174"/>
    </row>
    <row r="5" spans="2:12" x14ac:dyDescent="0.3">
      <c r="B5" s="169" t="s">
        <v>1</v>
      </c>
      <c r="C5" s="169" t="s">
        <v>2</v>
      </c>
      <c r="D5" s="169"/>
      <c r="E5" s="169"/>
      <c r="F5" s="169"/>
      <c r="G5" s="169"/>
      <c r="H5" s="169"/>
      <c r="I5" s="169" t="s">
        <v>3</v>
      </c>
      <c r="J5" s="170" t="s">
        <v>4</v>
      </c>
      <c r="K5" s="171" t="s">
        <v>5</v>
      </c>
      <c r="L5" s="169" t="s">
        <v>6</v>
      </c>
    </row>
    <row r="6" spans="2:12" x14ac:dyDescent="0.3">
      <c r="B6" s="169"/>
      <c r="C6" s="169"/>
      <c r="D6" s="169"/>
      <c r="E6" s="169"/>
      <c r="F6" s="169"/>
      <c r="G6" s="169"/>
      <c r="H6" s="169"/>
      <c r="I6" s="169"/>
      <c r="J6" s="170"/>
      <c r="K6" s="171"/>
      <c r="L6" s="169"/>
    </row>
    <row r="7" spans="2:12" x14ac:dyDescent="0.3">
      <c r="B7" s="13"/>
      <c r="C7" s="1"/>
      <c r="D7" s="2"/>
      <c r="E7" s="2"/>
      <c r="F7" s="2"/>
      <c r="G7" s="2"/>
      <c r="H7" s="3"/>
      <c r="I7" s="5"/>
      <c r="J7" s="10"/>
      <c r="K7" s="18"/>
      <c r="L7" s="6"/>
    </row>
    <row r="8" spans="2:12" x14ac:dyDescent="0.3">
      <c r="B8" s="13"/>
      <c r="C8" s="11" t="s">
        <v>263</v>
      </c>
      <c r="D8" s="5"/>
      <c r="E8" s="5"/>
      <c r="F8" s="5"/>
      <c r="G8" s="5"/>
      <c r="H8" s="6"/>
      <c r="I8" s="5"/>
      <c r="J8" s="10"/>
      <c r="K8" s="18"/>
      <c r="L8" s="6"/>
    </row>
    <row r="9" spans="2:12" x14ac:dyDescent="0.3">
      <c r="B9" s="13"/>
      <c r="C9" s="4"/>
      <c r="D9" s="5"/>
      <c r="E9" s="5"/>
      <c r="F9" s="5"/>
      <c r="G9" s="5"/>
      <c r="H9" s="6"/>
      <c r="I9" s="5"/>
      <c r="J9" s="10"/>
      <c r="K9" s="18"/>
      <c r="L9" s="6"/>
    </row>
    <row r="10" spans="2:12" x14ac:dyDescent="0.3">
      <c r="B10" s="13"/>
      <c r="C10" s="175" t="s">
        <v>403</v>
      </c>
      <c r="D10" s="176"/>
      <c r="E10" s="176"/>
      <c r="F10" s="176"/>
      <c r="G10" s="176"/>
      <c r="H10" s="177"/>
      <c r="I10" s="5"/>
      <c r="J10" s="10"/>
      <c r="K10" s="18"/>
      <c r="L10" s="6"/>
    </row>
    <row r="11" spans="2:12" x14ac:dyDescent="0.3">
      <c r="B11" s="13" t="s">
        <v>412</v>
      </c>
      <c r="C11" s="11" t="s">
        <v>266</v>
      </c>
      <c r="D11" s="5"/>
      <c r="E11" s="5"/>
      <c r="F11" s="5"/>
      <c r="G11" s="5"/>
      <c r="H11" s="6"/>
      <c r="I11" s="5"/>
      <c r="J11" s="10"/>
      <c r="K11" s="18"/>
      <c r="L11" s="6"/>
    </row>
    <row r="12" spans="2:12" x14ac:dyDescent="0.3">
      <c r="B12" s="13"/>
      <c r="C12" s="11" t="s">
        <v>267</v>
      </c>
      <c r="D12" s="5"/>
      <c r="E12" s="5"/>
      <c r="F12" s="5"/>
      <c r="G12" s="5"/>
      <c r="H12" s="6"/>
      <c r="I12" s="5"/>
      <c r="J12" s="10"/>
      <c r="K12" s="18"/>
      <c r="L12" s="6"/>
    </row>
    <row r="13" spans="2:12" x14ac:dyDescent="0.3">
      <c r="B13" s="13"/>
      <c r="C13" s="11" t="s">
        <v>268</v>
      </c>
      <c r="D13" s="5"/>
      <c r="E13" s="5"/>
      <c r="F13" s="5"/>
      <c r="G13" s="5"/>
      <c r="H13" s="6"/>
      <c r="I13" s="5"/>
      <c r="J13" s="10"/>
      <c r="K13" s="18"/>
      <c r="L13" s="6"/>
    </row>
    <row r="14" spans="2:12" x14ac:dyDescent="0.3">
      <c r="B14" s="13"/>
      <c r="C14" s="4" t="s">
        <v>264</v>
      </c>
      <c r="D14" s="5"/>
      <c r="E14" s="5"/>
      <c r="F14" s="5"/>
      <c r="G14" s="5"/>
      <c r="H14" s="6"/>
      <c r="I14" s="5"/>
      <c r="J14" s="10"/>
      <c r="K14" s="18"/>
      <c r="L14" s="6"/>
    </row>
    <row r="15" spans="2:12" x14ac:dyDescent="0.3">
      <c r="B15" s="13"/>
      <c r="C15" s="4" t="s">
        <v>265</v>
      </c>
      <c r="D15" s="5"/>
      <c r="E15" s="5"/>
      <c r="F15" s="5"/>
      <c r="G15" s="5"/>
      <c r="H15" s="6"/>
      <c r="I15" s="5" t="s">
        <v>9</v>
      </c>
      <c r="J15" s="93">
        <f>'Take-off Quantities'!E5*0.6</f>
        <v>73.641599999999997</v>
      </c>
      <c r="K15" s="18">
        <v>96.98</v>
      </c>
      <c r="L15" s="23">
        <f>K15*J15</f>
        <v>7141.7623679999997</v>
      </c>
    </row>
    <row r="16" spans="2:12" x14ac:dyDescent="0.3">
      <c r="B16" s="13"/>
      <c r="C16" s="4"/>
      <c r="D16" s="5"/>
      <c r="E16" s="5"/>
      <c r="F16" s="5"/>
      <c r="G16" s="5"/>
      <c r="H16" s="6"/>
      <c r="I16" s="5"/>
      <c r="J16" s="10"/>
      <c r="K16" s="18"/>
      <c r="L16" s="6"/>
    </row>
    <row r="17" spans="2:14" x14ac:dyDescent="0.3">
      <c r="B17" s="13" t="s">
        <v>413</v>
      </c>
      <c r="C17" s="95" t="s">
        <v>414</v>
      </c>
      <c r="D17" s="5"/>
      <c r="E17" s="5"/>
      <c r="F17" s="5"/>
      <c r="G17" s="5"/>
      <c r="H17" s="6"/>
      <c r="I17" s="5"/>
      <c r="J17" s="10"/>
      <c r="K17" s="18"/>
      <c r="L17" s="6"/>
    </row>
    <row r="18" spans="2:14" x14ac:dyDescent="0.3">
      <c r="B18" s="13"/>
      <c r="C18" s="95" t="s">
        <v>415</v>
      </c>
      <c r="D18" s="5"/>
      <c r="E18" s="5"/>
      <c r="F18" s="5"/>
      <c r="G18" s="5"/>
      <c r="H18" s="6"/>
      <c r="I18" s="5"/>
      <c r="J18" s="10"/>
      <c r="K18" s="18"/>
      <c r="L18" s="6"/>
    </row>
    <row r="19" spans="2:14" x14ac:dyDescent="0.3">
      <c r="B19" s="13"/>
      <c r="C19" s="4" t="s">
        <v>417</v>
      </c>
      <c r="D19" s="5"/>
      <c r="E19" s="5"/>
      <c r="F19" s="5"/>
      <c r="G19" s="5"/>
      <c r="H19" s="6"/>
      <c r="I19" s="5"/>
      <c r="J19" s="10"/>
      <c r="K19" s="18"/>
      <c r="L19" s="6"/>
    </row>
    <row r="20" spans="2:14" x14ac:dyDescent="0.3">
      <c r="B20" s="13"/>
      <c r="C20" s="146" t="s">
        <v>416</v>
      </c>
      <c r="D20" s="5"/>
      <c r="E20" s="5"/>
      <c r="F20" s="5"/>
      <c r="G20" s="5"/>
      <c r="H20" s="6"/>
      <c r="I20" s="5" t="s">
        <v>9</v>
      </c>
      <c r="J20" s="93">
        <f>J15</f>
        <v>73.641599999999997</v>
      </c>
      <c r="K20" s="18">
        <v>13.89</v>
      </c>
      <c r="L20" s="23">
        <f>K20*J20</f>
        <v>1022.8818240000001</v>
      </c>
    </row>
    <row r="21" spans="2:14" x14ac:dyDescent="0.3">
      <c r="B21" s="13"/>
      <c r="C21" s="4"/>
      <c r="D21" s="5"/>
      <c r="E21" s="5"/>
      <c r="F21" s="5"/>
      <c r="G21" s="5"/>
      <c r="H21" s="6"/>
      <c r="I21" s="5"/>
      <c r="J21" s="10"/>
      <c r="K21" s="18"/>
      <c r="L21" s="6"/>
    </row>
    <row r="22" spans="2:14" x14ac:dyDescent="0.3">
      <c r="B22" s="13"/>
      <c r="C22" s="4"/>
      <c r="D22" s="5"/>
      <c r="E22" s="5"/>
      <c r="F22" s="5"/>
      <c r="G22" s="5"/>
      <c r="H22" s="6"/>
      <c r="I22" s="5"/>
      <c r="J22" s="10"/>
      <c r="K22" s="18"/>
      <c r="L22" s="6"/>
    </row>
    <row r="23" spans="2:14" x14ac:dyDescent="0.3">
      <c r="B23" s="13"/>
      <c r="C23" s="4"/>
      <c r="D23" s="5"/>
      <c r="E23" s="5"/>
      <c r="F23" s="5"/>
      <c r="G23" s="5"/>
      <c r="H23" s="6"/>
      <c r="I23" s="5"/>
      <c r="J23" s="10"/>
      <c r="K23" s="18"/>
      <c r="L23" s="6"/>
    </row>
    <row r="24" spans="2:14" x14ac:dyDescent="0.3">
      <c r="B24" s="25"/>
      <c r="C24" s="26"/>
      <c r="D24" s="27"/>
      <c r="E24" s="27"/>
      <c r="F24" s="27"/>
      <c r="G24" s="27"/>
      <c r="H24" s="28"/>
      <c r="I24" s="27"/>
      <c r="J24" s="29"/>
      <c r="K24" s="30"/>
      <c r="L24" s="65">
        <f>SUM(L11:L22)</f>
        <v>8164.6441919999997</v>
      </c>
    </row>
    <row r="25" spans="2:14" x14ac:dyDescent="0.3">
      <c r="B25" s="31"/>
      <c r="C25" s="5"/>
      <c r="D25" s="5"/>
      <c r="E25" s="5"/>
      <c r="F25" s="5"/>
      <c r="G25" s="5"/>
      <c r="H25" s="5"/>
      <c r="I25" s="5"/>
      <c r="J25" s="5"/>
      <c r="K25" s="32"/>
      <c r="L25" s="33"/>
      <c r="M25" s="5"/>
      <c r="N25" s="5"/>
    </row>
    <row r="26" spans="2:14" x14ac:dyDescent="0.3">
      <c r="B26" s="31"/>
      <c r="C26" s="5"/>
      <c r="D26" s="5"/>
      <c r="E26" s="5"/>
      <c r="F26" s="5"/>
      <c r="G26" s="5"/>
      <c r="H26" s="5"/>
      <c r="I26" s="5"/>
      <c r="J26" s="5"/>
      <c r="K26" s="32"/>
      <c r="L26" s="33"/>
      <c r="M26" s="5"/>
      <c r="N26" s="5"/>
    </row>
    <row r="27" spans="2:14" x14ac:dyDescent="0.3">
      <c r="B27" s="31"/>
      <c r="C27" s="5"/>
      <c r="D27" s="5"/>
      <c r="E27" s="5"/>
      <c r="F27" s="5"/>
      <c r="G27" s="5"/>
      <c r="H27" s="5"/>
      <c r="I27" s="5"/>
      <c r="J27" s="5"/>
      <c r="K27" s="32"/>
      <c r="L27" s="33"/>
      <c r="M27" s="5"/>
      <c r="N27" s="5"/>
    </row>
    <row r="28" spans="2:14" x14ac:dyDescent="0.3">
      <c r="I28" s="20"/>
    </row>
  </sheetData>
  <mergeCells count="8">
    <mergeCell ref="C10:H10"/>
    <mergeCell ref="B4:L4"/>
    <mergeCell ref="B5:B6"/>
    <mergeCell ref="C5:H6"/>
    <mergeCell ref="I5:I6"/>
    <mergeCell ref="J5:J6"/>
    <mergeCell ref="K5:K6"/>
    <mergeCell ref="L5:L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3"/>
  <sheetViews>
    <sheetView view="pageBreakPreview" zoomScale="60" zoomScaleNormal="70" workbookViewId="0">
      <selection activeCell="N38" sqref="N38:N39"/>
    </sheetView>
  </sheetViews>
  <sheetFormatPr defaultRowHeight="14.4" x14ac:dyDescent="0.3"/>
  <cols>
    <col min="1" max="1" width="4.33203125" customWidth="1"/>
    <col min="2" max="2" width="11.21875" customWidth="1"/>
    <col min="3" max="3" width="8.88671875" customWidth="1"/>
    <col min="8" max="8" width="7.109375" customWidth="1"/>
    <col min="11" max="11" width="11" customWidth="1"/>
    <col min="12" max="12" width="17.88671875" customWidth="1"/>
    <col min="13" max="13" width="2.44140625" customWidth="1"/>
    <col min="14" max="14" width="14.33203125" customWidth="1"/>
  </cols>
  <sheetData>
    <row r="2" spans="2:12" x14ac:dyDescent="0.3">
      <c r="B2" s="12" t="s">
        <v>0</v>
      </c>
      <c r="K2" s="19"/>
    </row>
    <row r="3" spans="2:12" x14ac:dyDescent="0.3">
      <c r="B3" s="12"/>
      <c r="K3" s="19"/>
    </row>
    <row r="4" spans="2:12" x14ac:dyDescent="0.3">
      <c r="B4" s="172" t="s">
        <v>409</v>
      </c>
      <c r="C4" s="173"/>
      <c r="D4" s="173"/>
      <c r="E4" s="173"/>
      <c r="F4" s="173"/>
      <c r="G4" s="173"/>
      <c r="H4" s="173"/>
      <c r="I4" s="173"/>
      <c r="J4" s="173"/>
      <c r="K4" s="173"/>
      <c r="L4" s="174"/>
    </row>
    <row r="5" spans="2:12" x14ac:dyDescent="0.3">
      <c r="B5" s="169" t="s">
        <v>1</v>
      </c>
      <c r="C5" s="169" t="s">
        <v>2</v>
      </c>
      <c r="D5" s="169"/>
      <c r="E5" s="169"/>
      <c r="F5" s="169"/>
      <c r="G5" s="169"/>
      <c r="H5" s="169"/>
      <c r="I5" s="169" t="s">
        <v>3</v>
      </c>
      <c r="J5" s="170" t="s">
        <v>4</v>
      </c>
      <c r="K5" s="171" t="s">
        <v>5</v>
      </c>
      <c r="L5" s="169" t="s">
        <v>6</v>
      </c>
    </row>
    <row r="6" spans="2:12" x14ac:dyDescent="0.3">
      <c r="B6" s="169"/>
      <c r="C6" s="169"/>
      <c r="D6" s="169"/>
      <c r="E6" s="169"/>
      <c r="F6" s="169"/>
      <c r="G6" s="169"/>
      <c r="H6" s="169"/>
      <c r="I6" s="169"/>
      <c r="J6" s="170"/>
      <c r="K6" s="171"/>
      <c r="L6" s="169"/>
    </row>
    <row r="7" spans="2:12" x14ac:dyDescent="0.3">
      <c r="B7" s="13"/>
      <c r="C7" s="1"/>
      <c r="D7" s="2"/>
      <c r="E7" s="2"/>
      <c r="F7" s="2"/>
      <c r="G7" s="2"/>
      <c r="H7" s="3"/>
      <c r="I7" s="5"/>
      <c r="J7" s="10"/>
      <c r="K7" s="18"/>
      <c r="L7" s="6"/>
    </row>
    <row r="8" spans="2:12" x14ac:dyDescent="0.3">
      <c r="B8" s="13"/>
      <c r="C8" s="11" t="s">
        <v>402</v>
      </c>
      <c r="D8" s="5"/>
      <c r="E8" s="5"/>
      <c r="F8" s="5"/>
      <c r="G8" s="5"/>
      <c r="H8" s="6"/>
      <c r="I8" s="5"/>
      <c r="J8" s="10"/>
      <c r="K8" s="18"/>
      <c r="L8" s="6"/>
    </row>
    <row r="9" spans="2:12" x14ac:dyDescent="0.3">
      <c r="B9" s="13"/>
      <c r="C9" s="4"/>
      <c r="D9" s="5"/>
      <c r="E9" s="5"/>
      <c r="F9" s="5"/>
      <c r="G9" s="5"/>
      <c r="H9" s="6"/>
      <c r="I9" s="5"/>
      <c r="J9" s="10"/>
      <c r="K9" s="18"/>
      <c r="L9" s="6"/>
    </row>
    <row r="10" spans="2:12" x14ac:dyDescent="0.3">
      <c r="B10" s="13"/>
      <c r="C10" s="175" t="s">
        <v>403</v>
      </c>
      <c r="D10" s="176"/>
      <c r="E10" s="176"/>
      <c r="F10" s="176"/>
      <c r="G10" s="176"/>
      <c r="H10" s="177"/>
      <c r="I10" s="5"/>
      <c r="J10" s="10"/>
      <c r="K10" s="18"/>
      <c r="L10" s="6"/>
    </row>
    <row r="11" spans="2:12" x14ac:dyDescent="0.3">
      <c r="B11" s="13" t="s">
        <v>404</v>
      </c>
      <c r="C11" s="11" t="s">
        <v>220</v>
      </c>
      <c r="D11" s="5"/>
      <c r="E11" s="5"/>
      <c r="F11" s="5"/>
      <c r="G11" s="5"/>
      <c r="H11" s="6"/>
      <c r="I11" s="5"/>
      <c r="J11" s="10"/>
      <c r="K11" s="18"/>
      <c r="L11" s="6"/>
    </row>
    <row r="12" spans="2:12" x14ac:dyDescent="0.3">
      <c r="B12" s="13"/>
      <c r="C12" s="71" t="s">
        <v>221</v>
      </c>
      <c r="D12" s="5"/>
      <c r="E12" s="5"/>
      <c r="F12" s="5"/>
      <c r="G12" s="5"/>
      <c r="H12" s="6"/>
      <c r="I12" s="5"/>
      <c r="J12" s="10"/>
      <c r="K12" s="18"/>
      <c r="L12" s="6"/>
    </row>
    <row r="13" spans="2:12" x14ac:dyDescent="0.3">
      <c r="B13" s="13"/>
      <c r="C13" s="71" t="s">
        <v>222</v>
      </c>
      <c r="D13" s="5"/>
      <c r="E13" s="5"/>
      <c r="F13" s="5"/>
      <c r="G13" s="5"/>
      <c r="H13" s="6"/>
      <c r="I13" s="5" t="s">
        <v>11</v>
      </c>
      <c r="J13" s="10">
        <f>'Take-off Quantities'!D11/0.6</f>
        <v>33.500000000000007</v>
      </c>
      <c r="K13" s="18">
        <v>4.84</v>
      </c>
      <c r="L13" s="6">
        <v>162.14000000000004</v>
      </c>
    </row>
    <row r="14" spans="2:12" x14ac:dyDescent="0.3">
      <c r="B14" s="13"/>
      <c r="C14" s="4"/>
      <c r="D14" s="5"/>
      <c r="E14" s="5"/>
      <c r="F14" s="5"/>
      <c r="G14" s="5"/>
      <c r="H14" s="6"/>
      <c r="I14" s="5"/>
      <c r="J14" s="10"/>
      <c r="K14" s="18"/>
      <c r="L14" s="6"/>
    </row>
    <row r="15" spans="2:12" x14ac:dyDescent="0.3">
      <c r="B15" s="13" t="s">
        <v>404</v>
      </c>
      <c r="C15" s="11" t="s">
        <v>228</v>
      </c>
      <c r="D15" s="5"/>
      <c r="E15" s="5"/>
      <c r="F15" s="5"/>
      <c r="G15" s="5"/>
      <c r="H15" s="6"/>
      <c r="I15" s="5"/>
      <c r="J15" s="10"/>
      <c r="K15" s="18"/>
      <c r="L15" s="23"/>
    </row>
    <row r="16" spans="2:12" x14ac:dyDescent="0.3">
      <c r="B16" s="13"/>
      <c r="C16" s="4" t="s">
        <v>229</v>
      </c>
      <c r="D16" s="5"/>
      <c r="E16" s="5"/>
      <c r="F16" s="5"/>
      <c r="G16" s="5"/>
      <c r="H16" s="6"/>
      <c r="I16" s="5" t="s">
        <v>12</v>
      </c>
      <c r="J16" s="10">
        <f>'Take-off Quantities'!D11+'Take-off Quantities'!E5</f>
        <v>142.83600000000001</v>
      </c>
      <c r="K16" s="18">
        <v>18.07</v>
      </c>
      <c r="L16" s="6">
        <v>2581.0465200000003</v>
      </c>
    </row>
    <row r="17" spans="2:14" x14ac:dyDescent="0.3">
      <c r="B17" s="13"/>
      <c r="C17" s="4"/>
      <c r="D17" s="5"/>
      <c r="E17" s="5"/>
      <c r="F17" s="5"/>
      <c r="G17" s="5"/>
      <c r="H17" s="6"/>
      <c r="I17" s="5"/>
      <c r="J17" s="10"/>
      <c r="K17" s="18"/>
      <c r="L17" s="6"/>
    </row>
    <row r="18" spans="2:14" x14ac:dyDescent="0.3">
      <c r="B18" s="13"/>
      <c r="C18" s="4"/>
      <c r="D18" s="5"/>
      <c r="E18" s="5"/>
      <c r="F18" s="5"/>
      <c r="G18" s="5"/>
      <c r="H18" s="6"/>
      <c r="I18" s="5"/>
      <c r="J18" s="10"/>
      <c r="K18" s="18"/>
      <c r="L18" s="6"/>
    </row>
    <row r="19" spans="2:14" x14ac:dyDescent="0.3">
      <c r="B19" s="13"/>
      <c r="C19" s="4"/>
      <c r="D19" s="5"/>
      <c r="E19" s="5"/>
      <c r="F19" s="5"/>
      <c r="G19" s="5"/>
      <c r="H19" s="6"/>
      <c r="I19" s="5"/>
      <c r="J19" s="10"/>
      <c r="K19" s="18"/>
      <c r="L19" s="6"/>
    </row>
    <row r="20" spans="2:14" x14ac:dyDescent="0.3">
      <c r="B20" s="25"/>
      <c r="C20" s="26"/>
      <c r="D20" s="27"/>
      <c r="E20" s="27"/>
      <c r="F20" s="27"/>
      <c r="G20" s="27"/>
      <c r="H20" s="28"/>
      <c r="I20" s="27"/>
      <c r="J20" s="29"/>
      <c r="K20" s="30"/>
      <c r="L20" s="65">
        <f>SUM(L11:L16)</f>
        <v>2743.1865200000002</v>
      </c>
    </row>
    <row r="21" spans="2:14" x14ac:dyDescent="0.3">
      <c r="B21" s="31"/>
      <c r="C21" s="5"/>
      <c r="D21" s="5"/>
      <c r="E21" s="5"/>
      <c r="F21" s="5"/>
      <c r="G21" s="5"/>
      <c r="H21" s="5"/>
      <c r="I21" s="5"/>
      <c r="J21" s="5"/>
      <c r="K21" s="32"/>
      <c r="L21" s="33"/>
      <c r="M21" s="5"/>
      <c r="N21" s="5"/>
    </row>
    <row r="22" spans="2:14" x14ac:dyDescent="0.3">
      <c r="B22" s="31"/>
      <c r="C22" s="5"/>
      <c r="D22" s="5"/>
      <c r="E22" s="5"/>
      <c r="F22" s="5"/>
      <c r="G22" s="5"/>
      <c r="H22" s="5"/>
      <c r="I22" s="5"/>
      <c r="J22" s="5"/>
      <c r="K22" s="32"/>
      <c r="L22" s="33"/>
      <c r="M22" s="5"/>
      <c r="N22" s="5"/>
    </row>
    <row r="23" spans="2:14" x14ac:dyDescent="0.3">
      <c r="B23" s="31"/>
      <c r="C23" s="5"/>
      <c r="D23" s="5"/>
      <c r="E23" s="5"/>
      <c r="F23" s="5"/>
      <c r="G23" s="5"/>
      <c r="H23" s="5"/>
      <c r="I23" s="5"/>
      <c r="J23" s="5"/>
      <c r="K23" s="32"/>
      <c r="L23" s="33"/>
      <c r="M23" s="5"/>
      <c r="N23" s="5"/>
    </row>
  </sheetData>
  <mergeCells count="8">
    <mergeCell ref="C10:H10"/>
    <mergeCell ref="B4:L4"/>
    <mergeCell ref="B5:B6"/>
    <mergeCell ref="C5:H6"/>
    <mergeCell ref="I5:I6"/>
    <mergeCell ref="J5:J6"/>
    <mergeCell ref="K5:K6"/>
    <mergeCell ref="L5:L6"/>
  </mergeCells>
  <pageMargins left="0.7" right="0.7" top="0.75" bottom="0.75" header="0.3" footer="0.3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0"/>
  <sheetViews>
    <sheetView view="pageBreakPreview" zoomScale="60" zoomScaleNormal="55" workbookViewId="0">
      <selection activeCell="J31" sqref="J31"/>
    </sheetView>
  </sheetViews>
  <sheetFormatPr defaultRowHeight="14.4" x14ac:dyDescent="0.3"/>
  <cols>
    <col min="1" max="1" width="1.88671875" customWidth="1"/>
    <col min="2" max="2" width="8.88671875" customWidth="1"/>
    <col min="8" max="8" width="13.88671875" customWidth="1"/>
    <col min="11" max="11" width="13.21875" customWidth="1"/>
    <col min="12" max="12" width="17.88671875" customWidth="1"/>
    <col min="13" max="13" width="2.44140625" customWidth="1"/>
    <col min="14" max="14" width="14.33203125" customWidth="1"/>
  </cols>
  <sheetData>
    <row r="2" spans="2:12" x14ac:dyDescent="0.3">
      <c r="B2" s="12" t="s">
        <v>0</v>
      </c>
      <c r="K2" s="19"/>
    </row>
    <row r="3" spans="2:12" x14ac:dyDescent="0.3">
      <c r="B3" s="12"/>
      <c r="K3" s="19"/>
    </row>
    <row r="4" spans="2:12" x14ac:dyDescent="0.3">
      <c r="B4" s="172" t="s">
        <v>423</v>
      </c>
      <c r="C4" s="173"/>
      <c r="D4" s="173"/>
      <c r="E4" s="173"/>
      <c r="F4" s="173"/>
      <c r="G4" s="173"/>
      <c r="H4" s="173"/>
      <c r="I4" s="173"/>
      <c r="J4" s="173"/>
      <c r="K4" s="173"/>
      <c r="L4" s="174"/>
    </row>
    <row r="5" spans="2:12" x14ac:dyDescent="0.3">
      <c r="B5" s="169" t="s">
        <v>1</v>
      </c>
      <c r="C5" s="169" t="s">
        <v>2</v>
      </c>
      <c r="D5" s="169"/>
      <c r="E5" s="169"/>
      <c r="F5" s="169"/>
      <c r="G5" s="169"/>
      <c r="H5" s="169"/>
      <c r="I5" s="169" t="s">
        <v>3</v>
      </c>
      <c r="J5" s="170" t="s">
        <v>4</v>
      </c>
      <c r="K5" s="171" t="s">
        <v>5</v>
      </c>
      <c r="L5" s="169" t="s">
        <v>6</v>
      </c>
    </row>
    <row r="6" spans="2:12" x14ac:dyDescent="0.3">
      <c r="B6" s="169"/>
      <c r="C6" s="169"/>
      <c r="D6" s="169"/>
      <c r="E6" s="169"/>
      <c r="F6" s="169"/>
      <c r="G6" s="169"/>
      <c r="H6" s="169"/>
      <c r="I6" s="169"/>
      <c r="J6" s="170"/>
      <c r="K6" s="171"/>
      <c r="L6" s="169"/>
    </row>
    <row r="7" spans="2:12" x14ac:dyDescent="0.3">
      <c r="B7" s="13"/>
      <c r="C7" s="1"/>
      <c r="D7" s="2"/>
      <c r="E7" s="2"/>
      <c r="F7" s="2"/>
      <c r="G7" s="2"/>
      <c r="H7" s="3"/>
      <c r="I7" s="5"/>
      <c r="J7" s="10"/>
      <c r="K7" s="18"/>
      <c r="L7" s="6"/>
    </row>
    <row r="8" spans="2:12" x14ac:dyDescent="0.3">
      <c r="B8" s="13"/>
      <c r="C8" s="11" t="s">
        <v>422</v>
      </c>
      <c r="D8" s="5"/>
      <c r="E8" s="5"/>
      <c r="F8" s="5"/>
      <c r="G8" s="5"/>
      <c r="H8" s="6"/>
      <c r="I8" s="5"/>
      <c r="J8" s="10"/>
      <c r="K8" s="18"/>
      <c r="L8" s="6"/>
    </row>
    <row r="9" spans="2:12" x14ac:dyDescent="0.3">
      <c r="B9" s="13"/>
      <c r="C9" s="4"/>
      <c r="D9" s="5"/>
      <c r="E9" s="5"/>
      <c r="F9" s="5"/>
      <c r="G9" s="5"/>
      <c r="H9" s="6"/>
      <c r="I9" s="5"/>
      <c r="J9" s="10"/>
      <c r="K9" s="18"/>
      <c r="L9" s="6"/>
    </row>
    <row r="10" spans="2:12" x14ac:dyDescent="0.3">
      <c r="B10" s="13"/>
      <c r="C10" s="22"/>
      <c r="D10" s="5"/>
      <c r="E10" s="5"/>
      <c r="F10" s="5"/>
      <c r="G10" s="5"/>
      <c r="H10" s="6"/>
      <c r="I10" s="5"/>
      <c r="J10" s="10"/>
      <c r="K10" s="18"/>
      <c r="L10" s="23"/>
    </row>
    <row r="11" spans="2:12" x14ac:dyDescent="0.3">
      <c r="B11" s="13"/>
      <c r="C11" s="72" t="s">
        <v>286</v>
      </c>
      <c r="D11" s="5"/>
      <c r="E11" s="5"/>
      <c r="F11" s="5"/>
      <c r="G11" s="5"/>
      <c r="H11" s="6"/>
      <c r="I11" s="21"/>
      <c r="J11" s="10"/>
      <c r="K11" s="18"/>
      <c r="L11" s="23"/>
    </row>
    <row r="12" spans="2:12" x14ac:dyDescent="0.3">
      <c r="B12" s="13"/>
      <c r="C12" s="4"/>
      <c r="D12" s="5"/>
      <c r="E12" s="5"/>
      <c r="F12" s="5"/>
      <c r="G12" s="5"/>
      <c r="H12" s="6"/>
      <c r="I12" s="5"/>
      <c r="J12" s="10"/>
      <c r="K12" s="18"/>
      <c r="L12" s="6"/>
    </row>
    <row r="13" spans="2:12" x14ac:dyDescent="0.3">
      <c r="B13" s="13"/>
      <c r="C13" s="11" t="s">
        <v>279</v>
      </c>
      <c r="D13" s="5"/>
      <c r="E13" s="5"/>
      <c r="F13" s="5"/>
      <c r="G13" s="5"/>
      <c r="H13" s="6"/>
      <c r="I13" s="5"/>
      <c r="J13" s="10"/>
      <c r="K13" s="18"/>
      <c r="L13" s="6"/>
    </row>
    <row r="14" spans="2:12" x14ac:dyDescent="0.3">
      <c r="B14" s="13" t="s">
        <v>424</v>
      </c>
      <c r="C14" s="11" t="s">
        <v>425</v>
      </c>
      <c r="D14" s="5"/>
      <c r="E14" s="5"/>
      <c r="F14" s="5"/>
      <c r="G14" s="5"/>
      <c r="H14" s="6"/>
      <c r="I14" s="5"/>
      <c r="J14" s="10"/>
      <c r="K14" s="18"/>
      <c r="L14" s="6"/>
    </row>
    <row r="15" spans="2:12" x14ac:dyDescent="0.3">
      <c r="B15" s="13"/>
      <c r="C15" s="11" t="s">
        <v>426</v>
      </c>
      <c r="D15" s="5"/>
      <c r="E15" s="5"/>
      <c r="F15" s="5"/>
      <c r="G15" s="5"/>
      <c r="H15" s="6"/>
      <c r="I15" s="5"/>
      <c r="J15" s="10"/>
      <c r="K15" s="18"/>
      <c r="L15" s="6"/>
    </row>
    <row r="16" spans="2:12" x14ac:dyDescent="0.3">
      <c r="B16" s="13"/>
      <c r="C16" s="4" t="s">
        <v>427</v>
      </c>
      <c r="D16" s="5"/>
      <c r="E16" s="5"/>
      <c r="F16" s="5"/>
      <c r="G16" s="5"/>
      <c r="H16" s="6"/>
      <c r="I16" s="5"/>
      <c r="J16" s="10"/>
      <c r="K16" s="18"/>
      <c r="L16" s="6"/>
    </row>
    <row r="17" spans="2:12" x14ac:dyDescent="0.3">
      <c r="B17" s="13"/>
      <c r="C17" s="4" t="s">
        <v>428</v>
      </c>
      <c r="D17" s="5"/>
      <c r="E17" s="5"/>
      <c r="F17" s="5"/>
      <c r="G17" s="5"/>
      <c r="H17" s="6"/>
      <c r="I17" s="5"/>
      <c r="J17" s="10"/>
      <c r="K17" s="18"/>
      <c r="L17" s="6"/>
    </row>
    <row r="18" spans="2:12" x14ac:dyDescent="0.3">
      <c r="B18" s="13"/>
      <c r="C18" s="4" t="s">
        <v>429</v>
      </c>
      <c r="D18" s="5"/>
      <c r="E18" s="5"/>
      <c r="F18" s="5"/>
      <c r="G18" s="5"/>
      <c r="H18" s="6"/>
      <c r="I18" s="5"/>
      <c r="J18" s="10"/>
      <c r="K18" s="18"/>
      <c r="L18" s="23"/>
    </row>
    <row r="19" spans="2:12" x14ac:dyDescent="0.3">
      <c r="B19" s="13"/>
      <c r="C19" s="4" t="s">
        <v>430</v>
      </c>
      <c r="D19" s="5"/>
      <c r="E19" s="5"/>
      <c r="F19" s="5"/>
      <c r="G19" s="5"/>
      <c r="H19" s="6"/>
      <c r="I19" s="5" t="s">
        <v>11</v>
      </c>
      <c r="J19" s="10">
        <v>10</v>
      </c>
      <c r="K19" s="18">
        <v>428.87</v>
      </c>
      <c r="L19" s="23">
        <f>K19*J19</f>
        <v>4288.7</v>
      </c>
    </row>
    <row r="20" spans="2:12" x14ac:dyDescent="0.3">
      <c r="B20" s="13"/>
      <c r="C20" s="4"/>
      <c r="D20" s="5"/>
      <c r="E20" s="5"/>
      <c r="F20" s="5"/>
      <c r="G20" s="5"/>
      <c r="H20" s="6"/>
      <c r="I20" s="5"/>
      <c r="J20" s="10"/>
      <c r="K20" s="18"/>
      <c r="L20" s="23"/>
    </row>
    <row r="21" spans="2:12" x14ac:dyDescent="0.3">
      <c r="B21" s="13"/>
      <c r="C21" s="4"/>
      <c r="D21" s="5"/>
      <c r="E21" s="5"/>
      <c r="F21" s="5"/>
      <c r="G21" s="5"/>
      <c r="H21" s="6"/>
      <c r="I21" s="5"/>
      <c r="J21" s="10"/>
      <c r="K21" s="18"/>
      <c r="L21" s="6"/>
    </row>
    <row r="22" spans="2:12" x14ac:dyDescent="0.3">
      <c r="B22" s="13"/>
      <c r="C22" s="4"/>
      <c r="D22" s="5"/>
      <c r="E22" s="5"/>
      <c r="F22" s="5"/>
      <c r="G22" s="5"/>
      <c r="H22" s="6"/>
      <c r="I22" s="5"/>
      <c r="J22" s="10"/>
      <c r="K22" s="18"/>
      <c r="L22" s="6"/>
    </row>
    <row r="23" spans="2:12" x14ac:dyDescent="0.3">
      <c r="B23" s="13"/>
      <c r="C23" s="11" t="s">
        <v>294</v>
      </c>
      <c r="D23" s="5"/>
      <c r="E23" s="5"/>
      <c r="F23" s="5"/>
      <c r="G23" s="5"/>
      <c r="H23" s="6"/>
      <c r="I23" s="5"/>
      <c r="J23" s="10"/>
      <c r="K23" s="18"/>
      <c r="L23" s="6"/>
    </row>
    <row r="24" spans="2:12" x14ac:dyDescent="0.3">
      <c r="B24" s="13"/>
      <c r="C24" s="11" t="s">
        <v>295</v>
      </c>
      <c r="D24" s="5"/>
      <c r="E24" s="5"/>
      <c r="F24" s="5"/>
      <c r="G24" s="5"/>
      <c r="H24" s="6"/>
      <c r="I24" s="5"/>
      <c r="J24" s="10"/>
      <c r="K24" s="18"/>
      <c r="L24" s="6"/>
    </row>
    <row r="25" spans="2:12" x14ac:dyDescent="0.3">
      <c r="B25" s="13" t="s">
        <v>424</v>
      </c>
      <c r="C25" s="4" t="s">
        <v>296</v>
      </c>
      <c r="D25" s="5"/>
      <c r="E25" s="5"/>
      <c r="F25" s="5"/>
      <c r="G25" s="5"/>
      <c r="H25" s="6"/>
      <c r="I25" s="5"/>
      <c r="J25" s="10"/>
      <c r="K25" s="18"/>
      <c r="L25" s="6"/>
    </row>
    <row r="26" spans="2:12" x14ac:dyDescent="0.3">
      <c r="B26" s="13"/>
      <c r="C26" s="4" t="s">
        <v>297</v>
      </c>
      <c r="D26" s="5"/>
      <c r="E26" s="5"/>
      <c r="F26" s="5"/>
      <c r="G26" s="5"/>
      <c r="H26" s="6"/>
      <c r="I26" s="5"/>
      <c r="J26" s="10"/>
      <c r="K26" s="18"/>
      <c r="L26" s="6"/>
    </row>
    <row r="27" spans="2:12" x14ac:dyDescent="0.3">
      <c r="B27" s="13"/>
      <c r="C27" s="4" t="s">
        <v>298</v>
      </c>
      <c r="D27" s="5"/>
      <c r="E27" s="5"/>
      <c r="F27" s="5"/>
      <c r="G27" s="5"/>
      <c r="H27" s="6"/>
      <c r="I27" s="5"/>
      <c r="J27" s="10"/>
      <c r="K27" s="18"/>
      <c r="L27" s="6"/>
    </row>
    <row r="28" spans="2:12" x14ac:dyDescent="0.3">
      <c r="B28" s="13"/>
      <c r="C28" s="4" t="s">
        <v>299</v>
      </c>
      <c r="D28" s="5"/>
      <c r="E28" s="5"/>
      <c r="F28" s="5"/>
      <c r="G28" s="5"/>
      <c r="H28" s="6"/>
      <c r="I28" s="5"/>
      <c r="J28" s="10"/>
      <c r="K28" s="18"/>
      <c r="L28" s="6"/>
    </row>
    <row r="29" spans="2:12" x14ac:dyDescent="0.3">
      <c r="B29" s="13"/>
      <c r="C29" s="4" t="s">
        <v>300</v>
      </c>
      <c r="D29" s="5"/>
      <c r="E29" s="5"/>
      <c r="F29" s="5"/>
      <c r="G29" s="5"/>
      <c r="H29" s="6"/>
      <c r="I29" s="5"/>
      <c r="J29" s="10"/>
      <c r="K29" s="18"/>
      <c r="L29" s="6"/>
    </row>
    <row r="30" spans="2:12" x14ac:dyDescent="0.3">
      <c r="B30" s="13"/>
      <c r="C30" s="4" t="s">
        <v>301</v>
      </c>
      <c r="D30" s="5"/>
      <c r="E30" s="5"/>
      <c r="F30" s="5"/>
      <c r="G30" s="5"/>
      <c r="H30" s="6"/>
      <c r="I30" s="5"/>
      <c r="J30" s="10"/>
      <c r="K30" s="18"/>
      <c r="L30" s="6"/>
    </row>
    <row r="31" spans="2:12" x14ac:dyDescent="0.3">
      <c r="B31" s="13"/>
      <c r="C31" s="4" t="s">
        <v>302</v>
      </c>
      <c r="D31" s="5"/>
      <c r="E31" s="5"/>
      <c r="F31" s="5"/>
      <c r="G31" s="5"/>
      <c r="H31" s="6"/>
      <c r="I31" s="5" t="s">
        <v>12</v>
      </c>
      <c r="J31" s="10">
        <f>'Take-off Quantities'!I5+16</f>
        <v>162.67000000000002</v>
      </c>
      <c r="K31" s="18">
        <v>114.36</v>
      </c>
      <c r="L31" s="23">
        <f>K31*J31</f>
        <v>18602.941200000001</v>
      </c>
    </row>
    <row r="32" spans="2:12" x14ac:dyDescent="0.3">
      <c r="B32" s="13"/>
      <c r="C32" s="4"/>
      <c r="D32" s="5"/>
      <c r="E32" s="5"/>
      <c r="F32" s="5"/>
      <c r="G32" s="5"/>
      <c r="H32" s="6"/>
      <c r="I32" s="5"/>
      <c r="J32" s="10"/>
      <c r="K32" s="18"/>
      <c r="L32" s="6"/>
    </row>
    <row r="33" spans="2:14" x14ac:dyDescent="0.3">
      <c r="B33" s="13"/>
      <c r="C33" s="4"/>
      <c r="D33" s="5"/>
      <c r="E33" s="5"/>
      <c r="F33" s="5"/>
      <c r="G33" s="5"/>
      <c r="H33" s="6"/>
      <c r="I33" s="5"/>
      <c r="J33" s="10"/>
      <c r="K33" s="18"/>
      <c r="L33" s="6"/>
    </row>
    <row r="34" spans="2:14" x14ac:dyDescent="0.3">
      <c r="B34" s="13"/>
      <c r="C34" s="7"/>
      <c r="D34" s="8"/>
      <c r="E34" s="8"/>
      <c r="F34" s="8"/>
      <c r="G34" s="8"/>
      <c r="H34" s="9"/>
      <c r="I34" s="5"/>
      <c r="J34" s="10"/>
      <c r="K34" s="18"/>
      <c r="L34" s="6"/>
    </row>
    <row r="35" spans="2:14" x14ac:dyDescent="0.3">
      <c r="B35" s="25"/>
      <c r="C35" s="26"/>
      <c r="D35" s="27"/>
      <c r="E35" s="27"/>
      <c r="F35" s="27"/>
      <c r="G35" s="27"/>
      <c r="H35" s="28"/>
      <c r="I35" s="27"/>
      <c r="J35" s="29"/>
      <c r="K35" s="30"/>
      <c r="L35" s="65">
        <f>SUM(L10:L33)</f>
        <v>22891.641200000002</v>
      </c>
    </row>
    <row r="36" spans="2:14" x14ac:dyDescent="0.3">
      <c r="B36" s="31"/>
      <c r="C36" s="5"/>
      <c r="D36" s="5"/>
      <c r="E36" s="5"/>
      <c r="F36" s="5"/>
      <c r="G36" s="5"/>
      <c r="H36" s="5"/>
      <c r="I36" s="5"/>
      <c r="J36" s="5"/>
      <c r="K36" s="32"/>
      <c r="L36" s="33"/>
      <c r="M36" s="5"/>
      <c r="N36" s="5"/>
    </row>
    <row r="37" spans="2:14" x14ac:dyDescent="0.3">
      <c r="B37" s="31"/>
      <c r="C37" s="5"/>
      <c r="D37" s="5"/>
      <c r="E37" s="5"/>
      <c r="F37" s="5"/>
      <c r="G37" s="5"/>
      <c r="H37" s="5"/>
      <c r="I37" s="5"/>
      <c r="J37" s="5"/>
      <c r="K37" s="32"/>
      <c r="L37" s="33"/>
      <c r="M37" s="5"/>
      <c r="N37" s="5"/>
    </row>
    <row r="38" spans="2:14" x14ac:dyDescent="0.3">
      <c r="B38" s="31"/>
      <c r="C38" s="5"/>
      <c r="D38" s="5"/>
      <c r="E38" s="5"/>
      <c r="F38" s="5"/>
      <c r="G38" s="5"/>
      <c r="H38" s="5"/>
      <c r="I38" s="5"/>
      <c r="J38" s="5"/>
      <c r="K38" s="32"/>
      <c r="L38" s="33"/>
      <c r="M38" s="5"/>
      <c r="N38" s="5"/>
    </row>
    <row r="39" spans="2:14" x14ac:dyDescent="0.3">
      <c r="B39" s="31"/>
      <c r="C39" s="5"/>
      <c r="D39" s="5"/>
      <c r="E39" s="5"/>
      <c r="F39" s="5"/>
      <c r="G39" s="5"/>
      <c r="H39" s="5"/>
      <c r="I39" s="5"/>
      <c r="J39" s="5"/>
      <c r="K39" s="32"/>
      <c r="L39" s="33"/>
      <c r="M39" s="5"/>
      <c r="N39" s="5"/>
    </row>
    <row r="40" spans="2:14" x14ac:dyDescent="0.3">
      <c r="B40" s="31"/>
      <c r="C40" s="5"/>
      <c r="D40" s="5"/>
      <c r="E40" s="5"/>
      <c r="F40" s="5"/>
      <c r="G40" s="5"/>
      <c r="H40" s="5"/>
      <c r="I40" s="5"/>
      <c r="J40" s="5"/>
      <c r="K40" s="32"/>
      <c r="L40" s="5"/>
      <c r="M40" s="5"/>
      <c r="N40" s="5"/>
    </row>
  </sheetData>
  <mergeCells count="7">
    <mergeCell ref="B4:L4"/>
    <mergeCell ref="B5:B6"/>
    <mergeCell ref="C5:H6"/>
    <mergeCell ref="I5:I6"/>
    <mergeCell ref="J5:J6"/>
    <mergeCell ref="K5:K6"/>
    <mergeCell ref="L5:L6"/>
  </mergeCells>
  <pageMargins left="0.7" right="0.7" top="0.75" bottom="0.75" header="0.3" footer="0.3"/>
  <pageSetup paperSize="9"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53"/>
  <sheetViews>
    <sheetView view="pageBreakPreview" zoomScale="60" zoomScaleNormal="55" workbookViewId="0">
      <selection activeCell="N59" sqref="N58:N59"/>
    </sheetView>
  </sheetViews>
  <sheetFormatPr defaultRowHeight="14.4" x14ac:dyDescent="0.3"/>
  <cols>
    <col min="1" max="1" width="1.88671875" customWidth="1"/>
    <col min="2" max="2" width="8.88671875" customWidth="1"/>
    <col min="8" max="8" width="13.88671875" customWidth="1"/>
    <col min="11" max="11" width="13.21875" customWidth="1"/>
    <col min="12" max="12" width="17.88671875" customWidth="1"/>
    <col min="13" max="13" width="2.44140625" customWidth="1"/>
    <col min="14" max="14" width="14.33203125" customWidth="1"/>
  </cols>
  <sheetData>
    <row r="2" spans="2:14" x14ac:dyDescent="0.3">
      <c r="B2" s="12" t="s">
        <v>0</v>
      </c>
      <c r="K2" s="19"/>
    </row>
    <row r="3" spans="2:14" x14ac:dyDescent="0.3">
      <c r="B3" s="12"/>
      <c r="K3" s="19"/>
    </row>
    <row r="4" spans="2:14" x14ac:dyDescent="0.3">
      <c r="B4" s="172" t="s">
        <v>410</v>
      </c>
      <c r="C4" s="173"/>
      <c r="D4" s="173"/>
      <c r="E4" s="173"/>
      <c r="F4" s="173"/>
      <c r="G4" s="173"/>
      <c r="H4" s="173"/>
      <c r="I4" s="173"/>
      <c r="J4" s="173"/>
      <c r="K4" s="173"/>
      <c r="L4" s="174"/>
    </row>
    <row r="5" spans="2:14" x14ac:dyDescent="0.3">
      <c r="B5" s="169" t="s">
        <v>1</v>
      </c>
      <c r="C5" s="169" t="s">
        <v>2</v>
      </c>
      <c r="D5" s="169"/>
      <c r="E5" s="169"/>
      <c r="F5" s="169"/>
      <c r="G5" s="169"/>
      <c r="H5" s="169"/>
      <c r="I5" s="169" t="s">
        <v>3</v>
      </c>
      <c r="J5" s="170" t="s">
        <v>4</v>
      </c>
      <c r="K5" s="171" t="s">
        <v>5</v>
      </c>
      <c r="L5" s="169" t="s">
        <v>6</v>
      </c>
    </row>
    <row r="6" spans="2:14" x14ac:dyDescent="0.3">
      <c r="B6" s="169"/>
      <c r="C6" s="169"/>
      <c r="D6" s="169"/>
      <c r="E6" s="169"/>
      <c r="F6" s="169"/>
      <c r="G6" s="169"/>
      <c r="H6" s="169"/>
      <c r="I6" s="169"/>
      <c r="J6" s="170"/>
      <c r="K6" s="171"/>
      <c r="L6" s="169"/>
    </row>
    <row r="7" spans="2:14" x14ac:dyDescent="0.3">
      <c r="B7" s="13"/>
      <c r="C7" s="1"/>
      <c r="D7" s="2"/>
      <c r="E7" s="2"/>
      <c r="F7" s="2"/>
      <c r="G7" s="2"/>
      <c r="H7" s="3"/>
      <c r="I7" s="5"/>
      <c r="J7" s="10"/>
      <c r="K7" s="18"/>
      <c r="L7" s="6"/>
    </row>
    <row r="8" spans="2:14" x14ac:dyDescent="0.3">
      <c r="B8" s="13"/>
      <c r="C8" s="11" t="s">
        <v>418</v>
      </c>
      <c r="D8" s="5"/>
      <c r="E8" s="5"/>
      <c r="F8" s="5"/>
      <c r="G8" s="5"/>
      <c r="H8" s="6"/>
      <c r="I8" s="5"/>
      <c r="J8" s="10"/>
      <c r="K8" s="18"/>
      <c r="L8" s="6"/>
    </row>
    <row r="9" spans="2:14" x14ac:dyDescent="0.3">
      <c r="B9" s="13"/>
      <c r="C9" s="4"/>
      <c r="D9" s="5"/>
      <c r="E9" s="5"/>
      <c r="F9" s="5"/>
      <c r="G9" s="5"/>
      <c r="H9" s="6"/>
      <c r="I9" s="5"/>
      <c r="J9" s="10"/>
      <c r="K9" s="18"/>
      <c r="L9" s="6"/>
    </row>
    <row r="10" spans="2:14" x14ac:dyDescent="0.3">
      <c r="B10" s="13"/>
      <c r="C10" s="72" t="s">
        <v>285</v>
      </c>
      <c r="D10" s="5"/>
      <c r="E10" s="5"/>
      <c r="F10" s="5"/>
      <c r="G10" s="5"/>
      <c r="H10" s="6"/>
      <c r="I10" s="5"/>
      <c r="J10" s="10"/>
      <c r="K10" s="18"/>
      <c r="L10" s="6"/>
    </row>
    <row r="11" spans="2:14" x14ac:dyDescent="0.3">
      <c r="B11" s="13"/>
      <c r="C11" s="11" t="s">
        <v>284</v>
      </c>
      <c r="D11" s="5"/>
      <c r="E11" s="5"/>
      <c r="F11" s="5"/>
      <c r="G11" s="5"/>
      <c r="H11" s="6"/>
      <c r="I11" s="5"/>
      <c r="J11" s="10"/>
      <c r="K11" s="18"/>
      <c r="L11" s="6"/>
    </row>
    <row r="12" spans="2:14" x14ac:dyDescent="0.3">
      <c r="B12" s="13"/>
      <c r="C12" s="11" t="s">
        <v>185</v>
      </c>
      <c r="D12" s="5"/>
      <c r="E12" s="5"/>
      <c r="F12" s="5"/>
      <c r="G12" s="5"/>
      <c r="H12" s="6"/>
      <c r="I12" s="5"/>
      <c r="J12" s="10"/>
      <c r="K12" s="18"/>
      <c r="L12" s="23"/>
    </row>
    <row r="13" spans="2:14" x14ac:dyDescent="0.3">
      <c r="B13" s="13"/>
      <c r="C13" s="11" t="s">
        <v>187</v>
      </c>
      <c r="D13" s="5"/>
      <c r="E13" s="5"/>
      <c r="F13" s="5"/>
      <c r="G13" s="5"/>
      <c r="H13" s="6"/>
      <c r="I13" s="5"/>
      <c r="J13" s="10"/>
      <c r="K13" s="18"/>
      <c r="L13" s="23"/>
      <c r="N13" s="24"/>
    </row>
    <row r="14" spans="2:14" x14ac:dyDescent="0.3">
      <c r="B14" s="13"/>
      <c r="C14" s="11" t="s">
        <v>186</v>
      </c>
      <c r="D14" s="5"/>
      <c r="E14" s="5"/>
      <c r="F14" s="5"/>
      <c r="G14" s="5"/>
      <c r="H14" s="6"/>
      <c r="I14" s="5"/>
      <c r="J14" s="10"/>
      <c r="K14" s="18"/>
      <c r="L14" s="6"/>
    </row>
    <row r="15" spans="2:14" x14ac:dyDescent="0.3">
      <c r="B15" s="13"/>
      <c r="C15" s="4" t="s">
        <v>189</v>
      </c>
      <c r="D15" s="5"/>
      <c r="E15" s="5"/>
      <c r="F15" s="5"/>
      <c r="G15" s="5"/>
      <c r="H15" s="6"/>
      <c r="I15" s="5"/>
      <c r="J15" s="10"/>
      <c r="K15" s="18"/>
      <c r="L15" s="23"/>
    </row>
    <row r="16" spans="2:14" x14ac:dyDescent="0.3">
      <c r="B16" s="13" t="s">
        <v>419</v>
      </c>
      <c r="C16" s="71" t="s">
        <v>188</v>
      </c>
      <c r="D16" s="5"/>
      <c r="E16" s="5"/>
      <c r="F16" s="5"/>
      <c r="G16" s="5"/>
      <c r="H16" s="6"/>
      <c r="I16" s="10" t="s">
        <v>12</v>
      </c>
      <c r="J16" s="5">
        <v>150</v>
      </c>
      <c r="K16" s="18">
        <v>20.38</v>
      </c>
      <c r="L16" s="23">
        <f t="shared" ref="L16:L32" si="0">K16*J16</f>
        <v>3057</v>
      </c>
    </row>
    <row r="17" spans="2:12" x14ac:dyDescent="0.3">
      <c r="B17" s="13" t="s">
        <v>420</v>
      </c>
      <c r="C17" s="71" t="s">
        <v>280</v>
      </c>
      <c r="D17" s="5"/>
      <c r="E17" s="5"/>
      <c r="F17" s="5"/>
      <c r="G17" s="5"/>
      <c r="H17" s="6"/>
      <c r="I17" s="10" t="s">
        <v>11</v>
      </c>
      <c r="J17" s="5">
        <v>10</v>
      </c>
      <c r="K17" s="18">
        <v>55.68</v>
      </c>
      <c r="L17" s="23">
        <f t="shared" si="0"/>
        <v>556.79999999999995</v>
      </c>
    </row>
    <row r="18" spans="2:12" x14ac:dyDescent="0.3">
      <c r="B18" s="13" t="s">
        <v>420</v>
      </c>
      <c r="C18" s="71" t="s">
        <v>281</v>
      </c>
      <c r="D18" s="5"/>
      <c r="E18" s="5"/>
      <c r="F18" s="5"/>
      <c r="G18" s="5"/>
      <c r="H18" s="6"/>
      <c r="I18" s="10" t="s">
        <v>11</v>
      </c>
      <c r="J18" s="5">
        <v>6</v>
      </c>
      <c r="K18" s="18">
        <v>56.97</v>
      </c>
      <c r="L18" s="23">
        <f t="shared" si="0"/>
        <v>341.82</v>
      </c>
    </row>
    <row r="19" spans="2:12" x14ac:dyDescent="0.3">
      <c r="B19" s="13" t="s">
        <v>420</v>
      </c>
      <c r="C19" s="71" t="s">
        <v>282</v>
      </c>
      <c r="D19" s="5"/>
      <c r="E19" s="5"/>
      <c r="F19" s="5"/>
      <c r="G19" s="5"/>
      <c r="H19" s="6"/>
      <c r="I19" s="10" t="s">
        <v>11</v>
      </c>
      <c r="J19" s="21">
        <v>6</v>
      </c>
      <c r="K19" s="18">
        <v>23.72</v>
      </c>
      <c r="L19" s="23">
        <f t="shared" si="0"/>
        <v>142.32</v>
      </c>
    </row>
    <row r="20" spans="2:12" x14ac:dyDescent="0.3">
      <c r="B20" s="13" t="s">
        <v>420</v>
      </c>
      <c r="C20" s="71" t="s">
        <v>283</v>
      </c>
      <c r="D20" s="5"/>
      <c r="E20" s="5"/>
      <c r="F20" s="5"/>
      <c r="G20" s="5"/>
      <c r="H20" s="6"/>
      <c r="I20" s="10" t="s">
        <v>11</v>
      </c>
      <c r="J20" s="21">
        <v>6</v>
      </c>
      <c r="K20" s="18">
        <v>71.11</v>
      </c>
      <c r="L20" s="23">
        <f t="shared" si="0"/>
        <v>426.65999999999997</v>
      </c>
    </row>
    <row r="21" spans="2:12" x14ac:dyDescent="0.3">
      <c r="B21" s="13"/>
      <c r="C21" s="22"/>
      <c r="D21" s="5"/>
      <c r="E21" s="5"/>
      <c r="F21" s="5"/>
      <c r="G21" s="5"/>
      <c r="H21" s="6"/>
      <c r="I21" s="5"/>
      <c r="J21" s="10"/>
      <c r="K21" s="18"/>
      <c r="L21" s="23"/>
    </row>
    <row r="22" spans="2:12" x14ac:dyDescent="0.3">
      <c r="B22" s="13"/>
      <c r="C22" s="72" t="s">
        <v>286</v>
      </c>
      <c r="D22" s="5"/>
      <c r="E22" s="5"/>
      <c r="F22" s="5"/>
      <c r="G22" s="5"/>
      <c r="H22" s="6"/>
      <c r="I22" s="21"/>
      <c r="J22" s="10"/>
      <c r="K22" s="18"/>
      <c r="L22" s="23"/>
    </row>
    <row r="23" spans="2:12" x14ac:dyDescent="0.3">
      <c r="B23" s="13"/>
      <c r="C23" s="11" t="s">
        <v>284</v>
      </c>
      <c r="D23" s="5"/>
      <c r="E23" s="5"/>
      <c r="F23" s="5"/>
      <c r="G23" s="5"/>
      <c r="H23" s="6"/>
      <c r="I23" s="21"/>
      <c r="J23" s="10"/>
      <c r="K23" s="18"/>
      <c r="L23" s="23"/>
    </row>
    <row r="24" spans="2:12" x14ac:dyDescent="0.3">
      <c r="B24" s="13"/>
      <c r="C24" s="11" t="s">
        <v>185</v>
      </c>
      <c r="D24" s="5"/>
      <c r="E24" s="5"/>
      <c r="F24" s="5"/>
      <c r="G24" s="5"/>
      <c r="H24" s="6"/>
      <c r="I24" s="5"/>
      <c r="J24" s="10"/>
      <c r="K24" s="18"/>
      <c r="L24" s="23"/>
    </row>
    <row r="25" spans="2:12" x14ac:dyDescent="0.3">
      <c r="B25" s="13"/>
      <c r="C25" s="11" t="s">
        <v>187</v>
      </c>
      <c r="D25" s="5"/>
      <c r="E25" s="5"/>
      <c r="F25" s="5"/>
      <c r="G25" s="5"/>
      <c r="H25" s="6"/>
      <c r="I25" s="5"/>
      <c r="J25" s="10"/>
      <c r="K25" s="18"/>
      <c r="L25" s="23"/>
    </row>
    <row r="26" spans="2:12" x14ac:dyDescent="0.3">
      <c r="B26" s="13"/>
      <c r="C26" s="11" t="s">
        <v>186</v>
      </c>
      <c r="D26" s="5"/>
      <c r="E26" s="5"/>
      <c r="F26" s="5"/>
      <c r="G26" s="5"/>
      <c r="H26" s="6"/>
      <c r="I26" s="5"/>
      <c r="J26" s="10"/>
      <c r="K26" s="18"/>
      <c r="L26" s="23"/>
    </row>
    <row r="27" spans="2:12" x14ac:dyDescent="0.3">
      <c r="B27" s="13"/>
      <c r="C27" s="4" t="s">
        <v>189</v>
      </c>
      <c r="D27" s="5"/>
      <c r="E27" s="5"/>
      <c r="F27" s="5"/>
      <c r="G27" s="5"/>
      <c r="H27" s="6"/>
      <c r="I27" s="5"/>
      <c r="J27" s="10"/>
      <c r="K27" s="18"/>
      <c r="L27" s="23"/>
    </row>
    <row r="28" spans="2:12" x14ac:dyDescent="0.3">
      <c r="B28" s="13" t="s">
        <v>419</v>
      </c>
      <c r="C28" s="71" t="s">
        <v>190</v>
      </c>
      <c r="D28" s="5"/>
      <c r="E28" s="5"/>
      <c r="F28" s="5"/>
      <c r="G28" s="5"/>
      <c r="H28" s="6"/>
      <c r="I28" s="10" t="s">
        <v>12</v>
      </c>
      <c r="J28" s="5">
        <v>200</v>
      </c>
      <c r="K28" s="18">
        <v>34.619999999999997</v>
      </c>
      <c r="L28" s="23">
        <f t="shared" si="0"/>
        <v>6923.9999999999991</v>
      </c>
    </row>
    <row r="29" spans="2:12" x14ac:dyDescent="0.3">
      <c r="B29" s="13" t="s">
        <v>420</v>
      </c>
      <c r="C29" s="71" t="s">
        <v>280</v>
      </c>
      <c r="D29" s="5"/>
      <c r="E29" s="5"/>
      <c r="F29" s="5"/>
      <c r="G29" s="5"/>
      <c r="H29" s="6"/>
      <c r="I29" s="10" t="s">
        <v>11</v>
      </c>
      <c r="J29" s="5">
        <v>10</v>
      </c>
      <c r="K29" s="18">
        <v>55.68</v>
      </c>
      <c r="L29" s="23">
        <f t="shared" si="0"/>
        <v>556.79999999999995</v>
      </c>
    </row>
    <row r="30" spans="2:12" x14ac:dyDescent="0.3">
      <c r="B30" s="13" t="s">
        <v>420</v>
      </c>
      <c r="C30" s="71" t="s">
        <v>281</v>
      </c>
      <c r="D30" s="5"/>
      <c r="E30" s="5"/>
      <c r="F30" s="5"/>
      <c r="G30" s="5"/>
      <c r="H30" s="6"/>
      <c r="I30" s="10" t="s">
        <v>11</v>
      </c>
      <c r="J30" s="5">
        <v>10</v>
      </c>
      <c r="K30" s="18">
        <v>56.97</v>
      </c>
      <c r="L30" s="23">
        <f t="shared" si="0"/>
        <v>569.70000000000005</v>
      </c>
    </row>
    <row r="31" spans="2:12" x14ac:dyDescent="0.3">
      <c r="B31" s="13" t="s">
        <v>420</v>
      </c>
      <c r="C31" s="71" t="s">
        <v>282</v>
      </c>
      <c r="D31" s="5"/>
      <c r="E31" s="5"/>
      <c r="F31" s="5"/>
      <c r="G31" s="5"/>
      <c r="H31" s="6"/>
      <c r="I31" s="10" t="s">
        <v>11</v>
      </c>
      <c r="J31" s="21">
        <v>10</v>
      </c>
      <c r="K31" s="18">
        <v>23.72</v>
      </c>
      <c r="L31" s="23">
        <f t="shared" si="0"/>
        <v>237.2</v>
      </c>
    </row>
    <row r="32" spans="2:12" x14ac:dyDescent="0.3">
      <c r="B32" s="13" t="s">
        <v>420</v>
      </c>
      <c r="C32" s="71" t="s">
        <v>283</v>
      </c>
      <c r="D32" s="5"/>
      <c r="E32" s="5"/>
      <c r="F32" s="5"/>
      <c r="G32" s="5"/>
      <c r="H32" s="6"/>
      <c r="I32" s="10" t="s">
        <v>11</v>
      </c>
      <c r="J32" s="21">
        <v>10</v>
      </c>
      <c r="K32" s="18">
        <v>71.11</v>
      </c>
      <c r="L32" s="23">
        <f t="shared" si="0"/>
        <v>711.1</v>
      </c>
    </row>
    <row r="33" spans="2:12" x14ac:dyDescent="0.3">
      <c r="B33" s="13"/>
      <c r="C33" s="71"/>
      <c r="D33" s="5"/>
      <c r="E33" s="5"/>
      <c r="F33" s="5"/>
      <c r="G33" s="5"/>
      <c r="H33" s="6"/>
      <c r="I33" s="5"/>
      <c r="J33" s="10"/>
      <c r="K33" s="18"/>
      <c r="L33" s="23"/>
    </row>
    <row r="34" spans="2:12" x14ac:dyDescent="0.3">
      <c r="B34" s="13"/>
      <c r="C34" s="11" t="s">
        <v>269</v>
      </c>
      <c r="D34" s="5"/>
      <c r="E34" s="5"/>
      <c r="F34" s="5"/>
      <c r="G34" s="5"/>
      <c r="H34" s="6"/>
      <c r="I34" s="5"/>
      <c r="J34" s="10"/>
      <c r="K34" s="18"/>
      <c r="L34" s="23"/>
    </row>
    <row r="35" spans="2:12" x14ac:dyDescent="0.3">
      <c r="B35" s="13"/>
      <c r="C35" s="11" t="s">
        <v>270</v>
      </c>
      <c r="D35" s="5"/>
      <c r="E35" s="5"/>
      <c r="F35" s="5"/>
      <c r="G35" s="5"/>
      <c r="H35" s="6"/>
      <c r="I35" s="5"/>
      <c r="J35" s="10"/>
      <c r="K35" s="18"/>
      <c r="L35" s="23"/>
    </row>
    <row r="36" spans="2:12" x14ac:dyDescent="0.3">
      <c r="B36" s="13"/>
      <c r="C36" s="11" t="s">
        <v>271</v>
      </c>
      <c r="D36" s="5"/>
      <c r="E36" s="5"/>
      <c r="F36" s="5"/>
      <c r="G36" s="5"/>
      <c r="H36" s="6"/>
      <c r="I36" s="5"/>
      <c r="J36" s="10"/>
      <c r="K36" s="18"/>
      <c r="L36" s="23"/>
    </row>
    <row r="37" spans="2:12" x14ac:dyDescent="0.3">
      <c r="B37" s="13"/>
      <c r="C37" s="11" t="s">
        <v>272</v>
      </c>
      <c r="D37" s="5"/>
      <c r="E37" s="5"/>
      <c r="F37" s="5"/>
      <c r="G37" s="5"/>
      <c r="H37" s="6"/>
      <c r="I37" s="5"/>
      <c r="J37" s="10"/>
      <c r="K37" s="18"/>
      <c r="L37" s="23"/>
    </row>
    <row r="38" spans="2:12" x14ac:dyDescent="0.3">
      <c r="B38" s="13"/>
      <c r="C38" s="11" t="s">
        <v>273</v>
      </c>
      <c r="D38" s="5"/>
      <c r="E38" s="5"/>
      <c r="F38" s="5"/>
      <c r="G38" s="5"/>
      <c r="H38" s="6"/>
      <c r="I38" s="5"/>
      <c r="J38" s="10"/>
      <c r="K38" s="18"/>
      <c r="L38" s="23"/>
    </row>
    <row r="39" spans="2:12" x14ac:dyDescent="0.3">
      <c r="B39" s="13"/>
      <c r="C39" s="11" t="s">
        <v>274</v>
      </c>
      <c r="D39" s="5"/>
      <c r="E39" s="5"/>
      <c r="F39" s="5"/>
      <c r="G39" s="5"/>
      <c r="H39" s="6"/>
      <c r="I39" s="5"/>
      <c r="J39" s="10"/>
      <c r="K39" s="18"/>
      <c r="L39" s="23"/>
    </row>
    <row r="40" spans="2:12" x14ac:dyDescent="0.3">
      <c r="B40" s="13"/>
      <c r="C40" s="4" t="s">
        <v>275</v>
      </c>
      <c r="D40" s="5"/>
      <c r="E40" s="5"/>
      <c r="F40" s="5"/>
      <c r="G40" s="5"/>
      <c r="H40" s="6"/>
      <c r="I40" s="5"/>
      <c r="J40" s="10"/>
      <c r="K40" s="18"/>
      <c r="L40" s="23"/>
    </row>
    <row r="41" spans="2:12" x14ac:dyDescent="0.3">
      <c r="B41" s="13"/>
      <c r="C41" s="4" t="s">
        <v>276</v>
      </c>
      <c r="D41" s="5"/>
      <c r="E41" s="5"/>
      <c r="F41" s="5"/>
      <c r="G41" s="5"/>
      <c r="H41" s="6"/>
      <c r="I41" s="5"/>
      <c r="J41" s="10"/>
      <c r="K41" s="18"/>
      <c r="L41" s="23"/>
    </row>
    <row r="42" spans="2:12" x14ac:dyDescent="0.3">
      <c r="B42" s="13" t="s">
        <v>421</v>
      </c>
      <c r="C42" s="4"/>
      <c r="D42" s="5" t="s">
        <v>277</v>
      </c>
      <c r="E42" s="5"/>
      <c r="F42" s="5"/>
      <c r="G42" s="5"/>
      <c r="H42" s="6"/>
      <c r="I42" s="5" t="s">
        <v>11</v>
      </c>
      <c r="J42" s="10">
        <v>2</v>
      </c>
      <c r="K42" s="18">
        <v>929.49</v>
      </c>
      <c r="L42" s="23">
        <f>K42*J42</f>
        <v>1858.98</v>
      </c>
    </row>
    <row r="43" spans="2:12" x14ac:dyDescent="0.3">
      <c r="B43" s="13" t="s">
        <v>421</v>
      </c>
      <c r="C43" s="4"/>
      <c r="D43" s="5" t="s">
        <v>278</v>
      </c>
      <c r="E43" s="5"/>
      <c r="F43" s="5"/>
      <c r="G43" s="5"/>
      <c r="H43" s="6"/>
      <c r="I43" s="5" t="s">
        <v>11</v>
      </c>
      <c r="J43" s="10">
        <v>4</v>
      </c>
      <c r="K43" s="18">
        <v>1029.72</v>
      </c>
      <c r="L43" s="23">
        <f>K43*J43</f>
        <v>4118.88</v>
      </c>
    </row>
    <row r="44" spans="2:12" x14ac:dyDescent="0.3">
      <c r="B44" s="13"/>
      <c r="C44" s="4"/>
      <c r="D44" s="5"/>
      <c r="E44" s="5"/>
      <c r="F44" s="5"/>
      <c r="G44" s="5"/>
      <c r="H44" s="6"/>
      <c r="I44" s="5"/>
      <c r="J44" s="10"/>
      <c r="K44" s="18"/>
      <c r="L44" s="6"/>
    </row>
    <row r="45" spans="2:12" x14ac:dyDescent="0.3">
      <c r="B45" s="13"/>
      <c r="C45" s="4"/>
      <c r="D45" s="5"/>
      <c r="E45" s="5"/>
      <c r="F45" s="5"/>
      <c r="G45" s="5"/>
      <c r="H45" s="6"/>
      <c r="I45" s="5"/>
      <c r="J45" s="10"/>
      <c r="K45" s="18"/>
      <c r="L45" s="6"/>
    </row>
    <row r="46" spans="2:12" x14ac:dyDescent="0.3">
      <c r="B46" s="13"/>
      <c r="C46" s="4"/>
      <c r="D46" s="5"/>
      <c r="E46" s="5"/>
      <c r="F46" s="5"/>
      <c r="G46" s="5"/>
      <c r="H46" s="6"/>
      <c r="I46" s="5"/>
      <c r="J46" s="10"/>
      <c r="K46" s="18"/>
      <c r="L46" s="6"/>
    </row>
    <row r="47" spans="2:12" x14ac:dyDescent="0.3">
      <c r="B47" s="13"/>
      <c r="C47" s="7"/>
      <c r="D47" s="8"/>
      <c r="E47" s="8"/>
      <c r="F47" s="8"/>
      <c r="G47" s="8"/>
      <c r="H47" s="9"/>
      <c r="I47" s="5"/>
      <c r="J47" s="10"/>
      <c r="K47" s="18"/>
      <c r="L47" s="6"/>
    </row>
    <row r="48" spans="2:12" x14ac:dyDescent="0.3">
      <c r="B48" s="25"/>
      <c r="C48" s="26"/>
      <c r="D48" s="27"/>
      <c r="E48" s="27"/>
      <c r="F48" s="27"/>
      <c r="G48" s="27"/>
      <c r="H48" s="28"/>
      <c r="I48" s="27"/>
      <c r="J48" s="29"/>
      <c r="K48" s="30"/>
      <c r="L48" s="65">
        <f>SUM(L12:L46)</f>
        <v>19501.259999999998</v>
      </c>
    </row>
    <row r="49" spans="2:14" x14ac:dyDescent="0.3">
      <c r="B49" s="31"/>
      <c r="C49" s="5"/>
      <c r="D49" s="5"/>
      <c r="E49" s="5"/>
      <c r="F49" s="5"/>
      <c r="G49" s="5"/>
      <c r="H49" s="5"/>
      <c r="I49" s="5"/>
      <c r="J49" s="5"/>
      <c r="K49" s="32"/>
      <c r="L49" s="33"/>
      <c r="M49" s="5"/>
      <c r="N49" s="5"/>
    </row>
    <row r="50" spans="2:14" x14ac:dyDescent="0.3">
      <c r="B50" s="31"/>
      <c r="C50" s="5"/>
      <c r="D50" s="5"/>
      <c r="E50" s="5"/>
      <c r="F50" s="5"/>
      <c r="G50" s="5"/>
      <c r="H50" s="5"/>
      <c r="I50" s="5"/>
      <c r="J50" s="5"/>
      <c r="K50" s="32"/>
      <c r="L50" s="33"/>
      <c r="M50" s="5"/>
      <c r="N50" s="5"/>
    </row>
    <row r="51" spans="2:14" x14ac:dyDescent="0.3">
      <c r="B51" s="31"/>
      <c r="C51" s="5"/>
      <c r="D51" s="5"/>
      <c r="E51" s="5"/>
      <c r="F51" s="5"/>
      <c r="G51" s="5"/>
      <c r="H51" s="5"/>
      <c r="I51" s="5"/>
      <c r="J51" s="5"/>
      <c r="K51" s="32"/>
      <c r="L51" s="33"/>
      <c r="M51" s="5"/>
      <c r="N51" s="5"/>
    </row>
    <row r="52" spans="2:14" x14ac:dyDescent="0.3">
      <c r="B52" s="31"/>
      <c r="C52" s="5"/>
      <c r="D52" s="5"/>
      <c r="E52" s="5"/>
      <c r="F52" s="5"/>
      <c r="G52" s="5"/>
      <c r="H52" s="5"/>
      <c r="I52" s="5"/>
      <c r="J52" s="5"/>
      <c r="K52" s="32"/>
      <c r="L52" s="33"/>
      <c r="M52" s="5"/>
      <c r="N52" s="5"/>
    </row>
    <row r="53" spans="2:14" x14ac:dyDescent="0.3">
      <c r="B53" s="31"/>
      <c r="C53" s="5"/>
      <c r="D53" s="5"/>
      <c r="E53" s="5"/>
      <c r="F53" s="5"/>
      <c r="G53" s="5"/>
      <c r="H53" s="5"/>
      <c r="I53" s="5"/>
      <c r="J53" s="5"/>
      <c r="K53" s="32"/>
      <c r="L53" s="5"/>
      <c r="M53" s="5"/>
      <c r="N53" s="5"/>
    </row>
  </sheetData>
  <mergeCells count="7">
    <mergeCell ref="B4:L4"/>
    <mergeCell ref="B5:B6"/>
    <mergeCell ref="C5:H6"/>
    <mergeCell ref="I5:I6"/>
    <mergeCell ref="J5:J6"/>
    <mergeCell ref="K5:K6"/>
    <mergeCell ref="L5:L6"/>
  </mergeCells>
  <pageMargins left="0.7" right="0.7" top="0.75" bottom="0.75" header="0.3" footer="0.3"/>
  <pageSetup paperSize="9" scale="7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5"/>
  <sheetViews>
    <sheetView zoomScale="85" zoomScaleNormal="85" workbookViewId="0">
      <selection activeCell="E36" sqref="E36"/>
    </sheetView>
  </sheetViews>
  <sheetFormatPr defaultRowHeight="14.4" x14ac:dyDescent="0.3"/>
  <cols>
    <col min="1" max="1" width="2.44140625" customWidth="1"/>
    <col min="11" max="11" width="11" customWidth="1"/>
    <col min="12" max="12" width="17.88671875" customWidth="1"/>
    <col min="13" max="13" width="2.44140625" customWidth="1"/>
    <col min="14" max="14" width="14.33203125" customWidth="1"/>
  </cols>
  <sheetData>
    <row r="2" spans="2:12" x14ac:dyDescent="0.3">
      <c r="B2" s="12" t="s">
        <v>0</v>
      </c>
      <c r="K2" s="19"/>
    </row>
    <row r="3" spans="2:12" x14ac:dyDescent="0.3">
      <c r="B3" s="12"/>
      <c r="K3" s="19"/>
    </row>
    <row r="4" spans="2:12" x14ac:dyDescent="0.3">
      <c r="B4" s="172" t="s">
        <v>411</v>
      </c>
      <c r="C4" s="173"/>
      <c r="D4" s="173"/>
      <c r="E4" s="173"/>
      <c r="F4" s="173"/>
      <c r="G4" s="173"/>
      <c r="H4" s="173"/>
      <c r="I4" s="173"/>
      <c r="J4" s="173"/>
      <c r="K4" s="173"/>
      <c r="L4" s="174"/>
    </row>
    <row r="5" spans="2:12" x14ac:dyDescent="0.3">
      <c r="B5" s="219" t="s">
        <v>1</v>
      </c>
      <c r="C5" s="169" t="s">
        <v>2</v>
      </c>
      <c r="D5" s="169"/>
      <c r="E5" s="169"/>
      <c r="F5" s="169"/>
      <c r="G5" s="169"/>
      <c r="H5" s="169"/>
      <c r="I5" s="169" t="s">
        <v>3</v>
      </c>
      <c r="J5" s="170" t="s">
        <v>4</v>
      </c>
      <c r="K5" s="171" t="s">
        <v>5</v>
      </c>
      <c r="L5" s="169" t="s">
        <v>6</v>
      </c>
    </row>
    <row r="6" spans="2:12" x14ac:dyDescent="0.3">
      <c r="B6" s="220"/>
      <c r="C6" s="169"/>
      <c r="D6" s="169"/>
      <c r="E6" s="169"/>
      <c r="F6" s="169"/>
      <c r="G6" s="169"/>
      <c r="H6" s="169"/>
      <c r="I6" s="169"/>
      <c r="J6" s="170"/>
      <c r="K6" s="171"/>
      <c r="L6" s="169"/>
    </row>
    <row r="7" spans="2:12" x14ac:dyDescent="0.3">
      <c r="B7" s="13"/>
      <c r="C7" s="4"/>
      <c r="D7" s="5"/>
      <c r="E7" s="5"/>
      <c r="F7" s="5"/>
      <c r="G7" s="5"/>
      <c r="H7" s="6"/>
      <c r="I7" s="5"/>
      <c r="J7" s="10"/>
      <c r="K7" s="18"/>
      <c r="L7" s="6"/>
    </row>
    <row r="8" spans="2:12" x14ac:dyDescent="0.3">
      <c r="B8" s="13"/>
      <c r="C8" s="11" t="s">
        <v>193</v>
      </c>
      <c r="D8" s="5"/>
      <c r="E8" s="5"/>
      <c r="F8" s="5"/>
      <c r="G8" s="5"/>
      <c r="H8" s="6"/>
      <c r="I8" s="5"/>
      <c r="J8" s="10"/>
      <c r="K8" s="18"/>
      <c r="L8" s="6"/>
    </row>
    <row r="9" spans="2:12" x14ac:dyDescent="0.3">
      <c r="B9" s="13"/>
      <c r="C9" s="4"/>
      <c r="D9" s="5"/>
      <c r="E9" s="5"/>
      <c r="F9" s="5"/>
      <c r="G9" s="5"/>
      <c r="H9" s="6"/>
      <c r="I9" s="5"/>
      <c r="J9" s="10"/>
      <c r="K9" s="18"/>
      <c r="L9" s="6"/>
    </row>
    <row r="10" spans="2:12" x14ac:dyDescent="0.3">
      <c r="B10" s="13" t="s">
        <v>448</v>
      </c>
      <c r="C10" s="11" t="s">
        <v>441</v>
      </c>
      <c r="D10" s="5"/>
      <c r="E10" s="5"/>
      <c r="F10" s="5"/>
      <c r="G10" s="5"/>
      <c r="H10" s="6"/>
      <c r="I10" s="5"/>
      <c r="J10" s="10"/>
      <c r="K10" s="18"/>
      <c r="L10" s="6"/>
    </row>
    <row r="11" spans="2:12" x14ac:dyDescent="0.3">
      <c r="B11" s="13"/>
      <c r="C11" s="4" t="s">
        <v>442</v>
      </c>
      <c r="D11" s="5"/>
      <c r="E11" s="5"/>
      <c r="F11" s="5"/>
      <c r="G11" s="5"/>
      <c r="H11" s="6"/>
      <c r="I11" s="5"/>
      <c r="J11" s="10"/>
      <c r="K11" s="18"/>
      <c r="L11" s="6"/>
    </row>
    <row r="12" spans="2:12" x14ac:dyDescent="0.3">
      <c r="B12" s="13"/>
      <c r="C12" s="4" t="s">
        <v>443</v>
      </c>
      <c r="D12" s="5"/>
      <c r="E12" s="5"/>
      <c r="F12" s="5"/>
      <c r="G12" s="5"/>
      <c r="H12" s="6"/>
      <c r="I12" s="5" t="s">
        <v>12</v>
      </c>
      <c r="J12" s="10">
        <f>'Take-off Quantities'!E5+16</f>
        <v>138.73599999999999</v>
      </c>
      <c r="K12" s="18">
        <v>16.45</v>
      </c>
      <c r="L12" s="23">
        <f>K12*J12</f>
        <v>2282.2071999999998</v>
      </c>
    </row>
    <row r="13" spans="2:12" x14ac:dyDescent="0.3">
      <c r="B13" s="13"/>
      <c r="C13" s="4"/>
      <c r="D13" s="5"/>
      <c r="E13" s="5"/>
      <c r="F13" s="5"/>
      <c r="G13" s="5"/>
      <c r="H13" s="6"/>
      <c r="I13" s="5"/>
      <c r="J13" s="10"/>
      <c r="K13" s="18"/>
      <c r="L13" s="6"/>
    </row>
    <row r="14" spans="2:12" x14ac:dyDescent="0.3">
      <c r="B14" s="13" t="s">
        <v>448</v>
      </c>
      <c r="C14" s="11" t="s">
        <v>444</v>
      </c>
      <c r="D14" s="5"/>
      <c r="E14" s="5"/>
      <c r="F14" s="5"/>
      <c r="G14" s="5"/>
      <c r="H14" s="6"/>
      <c r="I14" s="5"/>
      <c r="J14" s="10"/>
      <c r="K14" s="18"/>
      <c r="L14" s="6"/>
    </row>
    <row r="15" spans="2:12" x14ac:dyDescent="0.3">
      <c r="B15" s="13"/>
      <c r="C15" s="4" t="s">
        <v>445</v>
      </c>
      <c r="D15" s="5"/>
      <c r="E15" s="5"/>
      <c r="F15" s="5"/>
      <c r="G15" s="5"/>
      <c r="H15" s="6"/>
      <c r="I15" s="5"/>
      <c r="J15" s="10"/>
      <c r="K15" s="18"/>
      <c r="L15" s="6"/>
    </row>
    <row r="16" spans="2:12" x14ac:dyDescent="0.3">
      <c r="B16" s="13"/>
      <c r="C16" s="4" t="s">
        <v>446</v>
      </c>
      <c r="D16" s="5"/>
      <c r="E16" s="5"/>
      <c r="F16" s="5"/>
      <c r="G16" s="5"/>
      <c r="H16" s="6"/>
      <c r="I16" s="5"/>
      <c r="J16" s="10"/>
      <c r="K16" s="18"/>
      <c r="L16" s="6"/>
    </row>
    <row r="17" spans="2:14" x14ac:dyDescent="0.3">
      <c r="B17" s="13"/>
      <c r="C17" s="4" t="s">
        <v>447</v>
      </c>
      <c r="D17" s="5"/>
      <c r="E17" s="5"/>
      <c r="F17" s="5"/>
      <c r="G17" s="5"/>
      <c r="H17" s="6"/>
      <c r="I17" s="5" t="s">
        <v>12</v>
      </c>
      <c r="J17" s="10">
        <f>'Take-off Quantities'!E5+16</f>
        <v>138.73599999999999</v>
      </c>
      <c r="K17" s="18">
        <v>2.94</v>
      </c>
      <c r="L17" s="23">
        <f>K17*J17</f>
        <v>407.88383999999996</v>
      </c>
    </row>
    <row r="18" spans="2:14" x14ac:dyDescent="0.3">
      <c r="B18" s="13"/>
      <c r="C18" s="4"/>
      <c r="D18" s="5"/>
      <c r="E18" s="5"/>
      <c r="F18" s="5"/>
      <c r="G18" s="5"/>
      <c r="H18" s="6"/>
      <c r="I18" s="5"/>
      <c r="J18" s="10"/>
      <c r="K18" s="18"/>
      <c r="L18" s="6"/>
    </row>
    <row r="19" spans="2:14" x14ac:dyDescent="0.3">
      <c r="B19" s="13"/>
      <c r="C19" s="4"/>
      <c r="D19" s="5"/>
      <c r="E19" s="5"/>
      <c r="F19" s="5"/>
      <c r="G19" s="5"/>
      <c r="H19" s="6"/>
      <c r="I19" s="5"/>
      <c r="J19" s="10"/>
      <c r="K19" s="18"/>
      <c r="L19" s="6"/>
    </row>
    <row r="20" spans="2:14" x14ac:dyDescent="0.3">
      <c r="B20" s="13"/>
      <c r="C20" s="11" t="s">
        <v>434</v>
      </c>
      <c r="D20" s="5"/>
      <c r="E20" s="5"/>
      <c r="F20" s="5"/>
      <c r="G20" s="5"/>
      <c r="H20" s="6"/>
      <c r="I20" s="5"/>
      <c r="J20" s="10"/>
      <c r="K20" s="18"/>
      <c r="L20" s="6"/>
    </row>
    <row r="21" spans="2:14" x14ac:dyDescent="0.3">
      <c r="B21" s="13" t="s">
        <v>431</v>
      </c>
      <c r="C21" s="4" t="s">
        <v>436</v>
      </c>
      <c r="D21" s="5"/>
      <c r="E21" s="5"/>
      <c r="F21" s="5"/>
      <c r="G21" s="5"/>
      <c r="H21" s="6"/>
      <c r="I21" s="5" t="s">
        <v>9</v>
      </c>
      <c r="J21" s="10">
        <f>'Take-off Quantities'!L9-'Take-off Quantities'!L7</f>
        <v>126.7360000000001</v>
      </c>
      <c r="K21" s="18">
        <v>6.11</v>
      </c>
      <c r="L21" s="23">
        <f>K21*J21</f>
        <v>774.35696000000064</v>
      </c>
    </row>
    <row r="22" spans="2:14" x14ac:dyDescent="0.3">
      <c r="B22" s="13" t="s">
        <v>431</v>
      </c>
      <c r="C22" s="4" t="s">
        <v>435</v>
      </c>
      <c r="D22" s="5"/>
      <c r="E22" s="5"/>
      <c r="F22" s="5"/>
      <c r="G22" s="5"/>
      <c r="H22" s="6"/>
      <c r="I22" s="5" t="s">
        <v>9</v>
      </c>
      <c r="J22" s="10">
        <f>'Take-off Quantities'!L9-'Take-off Quantities'!L7</f>
        <v>126.7360000000001</v>
      </c>
      <c r="K22" s="18">
        <v>13.14</v>
      </c>
      <c r="L22" s="23">
        <f>K22*J22</f>
        <v>1665.3110400000014</v>
      </c>
    </row>
    <row r="23" spans="2:14" x14ac:dyDescent="0.3">
      <c r="B23" s="13"/>
      <c r="C23" s="4"/>
      <c r="D23" s="5"/>
      <c r="E23" s="5"/>
      <c r="F23" s="5"/>
      <c r="G23" s="5"/>
      <c r="H23" s="6"/>
      <c r="I23" s="5"/>
      <c r="J23" s="10"/>
      <c r="K23" s="18"/>
      <c r="L23" s="6"/>
    </row>
    <row r="24" spans="2:14" x14ac:dyDescent="0.3">
      <c r="B24" s="13"/>
      <c r="C24" s="4"/>
      <c r="D24" s="5"/>
      <c r="E24" s="5"/>
      <c r="F24" s="5"/>
      <c r="G24" s="5"/>
      <c r="H24" s="6"/>
      <c r="I24" s="5"/>
      <c r="J24" s="10"/>
      <c r="K24" s="18"/>
      <c r="L24" s="6"/>
    </row>
    <row r="25" spans="2:14" x14ac:dyDescent="0.3">
      <c r="B25" s="13"/>
      <c r="C25" s="4"/>
      <c r="D25" s="5"/>
      <c r="E25" s="5"/>
      <c r="F25" s="5"/>
      <c r="G25" s="5"/>
      <c r="H25" s="6"/>
      <c r="I25" s="5"/>
      <c r="J25" s="10"/>
      <c r="K25" s="18"/>
      <c r="L25" s="6"/>
    </row>
    <row r="26" spans="2:14" x14ac:dyDescent="0.3">
      <c r="B26" s="13"/>
      <c r="C26" s="4"/>
      <c r="D26" s="5"/>
      <c r="E26" s="5"/>
      <c r="F26" s="5"/>
      <c r="G26" s="5"/>
      <c r="H26" s="6"/>
      <c r="I26" s="5"/>
      <c r="J26" s="10"/>
      <c r="K26" s="18"/>
      <c r="L26" s="6"/>
    </row>
    <row r="27" spans="2:14" x14ac:dyDescent="0.3">
      <c r="B27" s="13"/>
      <c r="C27" s="4"/>
      <c r="D27" s="5"/>
      <c r="E27" s="5"/>
      <c r="F27" s="5"/>
      <c r="G27" s="5"/>
      <c r="H27" s="6"/>
      <c r="I27" s="5"/>
      <c r="J27" s="10"/>
      <c r="K27" s="18"/>
      <c r="L27" s="6"/>
    </row>
    <row r="28" spans="2:14" x14ac:dyDescent="0.3">
      <c r="B28" s="13"/>
      <c r="C28" s="4"/>
      <c r="D28" s="5"/>
      <c r="E28" s="5"/>
      <c r="F28" s="5"/>
      <c r="G28" s="5"/>
      <c r="H28" s="6"/>
      <c r="I28" s="5"/>
      <c r="J28" s="10"/>
      <c r="K28" s="18"/>
      <c r="L28" s="6"/>
    </row>
    <row r="29" spans="2:14" x14ac:dyDescent="0.3">
      <c r="B29" s="13" t="s">
        <v>431</v>
      </c>
      <c r="C29" s="11" t="s">
        <v>437</v>
      </c>
      <c r="D29" s="5"/>
      <c r="E29" s="5"/>
      <c r="F29" s="5"/>
      <c r="G29" s="5"/>
      <c r="H29" s="6"/>
      <c r="I29" s="5"/>
      <c r="J29" s="10"/>
      <c r="K29" s="18"/>
      <c r="L29" s="6"/>
    </row>
    <row r="30" spans="2:14" x14ac:dyDescent="0.3">
      <c r="B30" s="13"/>
      <c r="C30" s="20" t="s">
        <v>438</v>
      </c>
      <c r="D30" s="5"/>
      <c r="E30" s="5"/>
      <c r="F30" s="5"/>
      <c r="G30" s="5"/>
      <c r="H30" s="6"/>
      <c r="I30" s="5"/>
      <c r="J30" s="10"/>
      <c r="K30" s="18"/>
      <c r="L30" s="23"/>
    </row>
    <row r="31" spans="2:14" x14ac:dyDescent="0.3">
      <c r="B31" s="13"/>
      <c r="C31" s="20" t="s">
        <v>439</v>
      </c>
      <c r="D31" s="5"/>
      <c r="E31" s="5"/>
      <c r="F31" s="5"/>
      <c r="G31" s="5"/>
      <c r="H31" s="6"/>
      <c r="I31" s="5"/>
      <c r="J31" s="10"/>
      <c r="K31" s="18"/>
      <c r="L31" s="23"/>
    </row>
    <row r="32" spans="2:14" x14ac:dyDescent="0.3">
      <c r="B32" s="13"/>
      <c r="C32" s="71" t="s">
        <v>158</v>
      </c>
      <c r="D32" s="5"/>
      <c r="E32" s="5"/>
      <c r="F32" s="5"/>
      <c r="G32" s="5"/>
      <c r="H32" s="6"/>
      <c r="I32" s="5"/>
      <c r="J32" s="10"/>
      <c r="K32" s="18"/>
      <c r="L32" s="23"/>
      <c r="N32" s="24"/>
    </row>
    <row r="33" spans="2:14" x14ac:dyDescent="0.3">
      <c r="B33" s="13"/>
      <c r="C33" s="71" t="s">
        <v>440</v>
      </c>
      <c r="D33" s="5"/>
      <c r="E33" s="5"/>
      <c r="F33" s="5"/>
      <c r="G33" s="5"/>
      <c r="H33" s="6"/>
      <c r="I33" s="5" t="s">
        <v>9</v>
      </c>
      <c r="J33" s="10">
        <f>'Take-off Quantities'!L9-'Take-off Quantities'!L7</f>
        <v>126.7360000000001</v>
      </c>
      <c r="K33" s="18">
        <v>55.72</v>
      </c>
      <c r="L33" s="23">
        <f>K33*J33</f>
        <v>7061.7299200000052</v>
      </c>
    </row>
    <row r="34" spans="2:14" x14ac:dyDescent="0.3">
      <c r="B34" s="13"/>
      <c r="C34" s="4"/>
      <c r="D34" s="5"/>
      <c r="E34" s="5"/>
      <c r="F34" s="5"/>
      <c r="G34" s="5"/>
      <c r="H34" s="6"/>
      <c r="I34" s="5"/>
      <c r="J34" s="10"/>
      <c r="K34" s="18"/>
      <c r="L34" s="6"/>
    </row>
    <row r="35" spans="2:14" x14ac:dyDescent="0.3">
      <c r="B35" s="13"/>
      <c r="C35" s="4"/>
      <c r="D35" s="5"/>
      <c r="E35" s="5"/>
      <c r="F35" s="5"/>
      <c r="G35" s="5"/>
      <c r="H35" s="6"/>
      <c r="I35" s="5"/>
      <c r="J35" s="10"/>
      <c r="K35" s="18"/>
      <c r="L35" s="6"/>
    </row>
    <row r="36" spans="2:14" x14ac:dyDescent="0.3">
      <c r="B36" s="13"/>
      <c r="C36" s="4"/>
      <c r="D36" s="5"/>
      <c r="E36" s="5"/>
      <c r="F36" s="5"/>
      <c r="G36" s="5"/>
      <c r="H36" s="6"/>
      <c r="I36" s="5"/>
      <c r="J36" s="10"/>
      <c r="K36" s="18"/>
      <c r="L36" s="6"/>
    </row>
    <row r="37" spans="2:14" x14ac:dyDescent="0.3">
      <c r="B37" s="13"/>
      <c r="C37" s="4"/>
      <c r="D37" s="5"/>
      <c r="E37" s="5"/>
      <c r="F37" s="5"/>
      <c r="G37" s="5"/>
      <c r="H37" s="6"/>
      <c r="I37" s="5"/>
      <c r="J37" s="10"/>
      <c r="K37" s="18"/>
      <c r="L37" s="6"/>
    </row>
    <row r="38" spans="2:14" x14ac:dyDescent="0.3">
      <c r="B38" s="13"/>
      <c r="C38" s="4"/>
      <c r="D38" s="5"/>
      <c r="E38" s="5"/>
      <c r="F38" s="5"/>
      <c r="G38" s="5"/>
      <c r="H38" s="6"/>
      <c r="I38" s="5"/>
      <c r="J38" s="10"/>
      <c r="K38" s="18"/>
      <c r="L38" s="6"/>
    </row>
    <row r="39" spans="2:14" x14ac:dyDescent="0.3">
      <c r="B39" s="13"/>
      <c r="C39" s="4"/>
      <c r="D39" s="5"/>
      <c r="E39" s="5"/>
      <c r="F39" s="5"/>
      <c r="G39" s="5"/>
      <c r="H39" s="6"/>
      <c r="I39" s="5"/>
      <c r="J39" s="10"/>
      <c r="K39" s="18"/>
      <c r="L39" s="6"/>
    </row>
    <row r="40" spans="2:14" x14ac:dyDescent="0.3">
      <c r="B40" s="13"/>
      <c r="C40" s="4"/>
      <c r="D40" s="5"/>
      <c r="E40" s="5"/>
      <c r="F40" s="5"/>
      <c r="G40" s="5"/>
      <c r="H40" s="6"/>
      <c r="I40" s="5"/>
      <c r="J40" s="10"/>
      <c r="K40" s="18"/>
      <c r="L40" s="6"/>
    </row>
    <row r="41" spans="2:14" x14ac:dyDescent="0.3">
      <c r="B41" s="13"/>
      <c r="C41" s="4"/>
      <c r="D41" s="5"/>
      <c r="E41" s="5"/>
      <c r="F41" s="5"/>
      <c r="G41" s="5"/>
      <c r="H41" s="6"/>
      <c r="I41" s="5"/>
      <c r="J41" s="10"/>
      <c r="K41" s="18"/>
      <c r="L41" s="6"/>
    </row>
    <row r="42" spans="2:14" x14ac:dyDescent="0.3">
      <c r="B42" s="13"/>
      <c r="C42" s="4"/>
      <c r="D42" s="5"/>
      <c r="E42" s="5"/>
      <c r="F42" s="5"/>
      <c r="G42" s="5"/>
      <c r="H42" s="6"/>
      <c r="I42" s="5"/>
      <c r="J42" s="10"/>
      <c r="K42" s="18"/>
      <c r="L42" s="6"/>
    </row>
    <row r="43" spans="2:14" x14ac:dyDescent="0.3">
      <c r="B43" s="25"/>
      <c r="C43" s="26"/>
      <c r="D43" s="27"/>
      <c r="E43" s="27"/>
      <c r="F43" s="27"/>
      <c r="G43" s="27"/>
      <c r="H43" s="28"/>
      <c r="I43" s="27"/>
      <c r="J43" s="29"/>
      <c r="K43" s="30"/>
      <c r="L43" s="65">
        <f>SUM(L30:L33)</f>
        <v>7061.7299200000052</v>
      </c>
    </row>
    <row r="44" spans="2:14" x14ac:dyDescent="0.3">
      <c r="B44" s="31"/>
      <c r="C44" s="5"/>
      <c r="D44" s="5"/>
      <c r="E44" s="5"/>
      <c r="F44" s="5"/>
      <c r="G44" s="5"/>
      <c r="H44" s="5"/>
      <c r="I44" s="5"/>
      <c r="J44" s="5"/>
      <c r="K44" s="32"/>
      <c r="L44" s="33"/>
      <c r="M44" s="5"/>
      <c r="N44" s="5"/>
    </row>
    <row r="45" spans="2:14" x14ac:dyDescent="0.3">
      <c r="B45" s="31"/>
      <c r="C45" s="5"/>
      <c r="D45" s="5"/>
      <c r="E45" s="5"/>
      <c r="F45" s="5"/>
      <c r="G45" s="5"/>
      <c r="H45" s="5"/>
      <c r="I45" s="5"/>
      <c r="J45" s="5"/>
      <c r="K45" s="32"/>
      <c r="L45" s="33"/>
      <c r="M45" s="5"/>
      <c r="N45" s="5"/>
    </row>
  </sheetData>
  <mergeCells count="7">
    <mergeCell ref="B4:L4"/>
    <mergeCell ref="B5:B6"/>
    <mergeCell ref="C5:H6"/>
    <mergeCell ref="I5:I6"/>
    <mergeCell ref="J5:J6"/>
    <mergeCell ref="K5:K6"/>
    <mergeCell ref="L5:L6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2"/>
  <sheetViews>
    <sheetView view="pageBreakPreview" zoomScale="55" zoomScaleNormal="40" zoomScaleSheetLayoutView="55" workbookViewId="0">
      <selection activeCell="P42" sqref="P42"/>
    </sheetView>
  </sheetViews>
  <sheetFormatPr defaultColWidth="9.33203125" defaultRowHeight="19.5" customHeight="1" x14ac:dyDescent="0.3"/>
  <cols>
    <col min="1" max="1" width="3" style="73" customWidth="1"/>
    <col min="2" max="2" width="14.44140625" style="73" customWidth="1"/>
    <col min="3" max="3" width="14.44140625" style="74" customWidth="1"/>
    <col min="4" max="4" width="9.33203125" style="75"/>
    <col min="5" max="5" width="12.109375" style="73" customWidth="1"/>
    <col min="6" max="6" width="9.33203125" style="73"/>
    <col min="7" max="7" width="21.77734375" style="73" customWidth="1"/>
    <col min="8" max="8" width="9.6640625" style="73" customWidth="1"/>
    <col min="9" max="9" width="13.33203125" style="73" customWidth="1"/>
    <col min="10" max="10" width="7.88671875" style="73" customWidth="1"/>
    <col min="11" max="11" width="27.44140625" style="73" customWidth="1"/>
    <col min="12" max="12" width="11.33203125" style="73" customWidth="1"/>
    <col min="13" max="13" width="10.77734375" style="73" customWidth="1"/>
    <col min="14" max="14" width="3.77734375" style="73" customWidth="1"/>
    <col min="15" max="15" width="5.44140625" style="73" customWidth="1"/>
    <col min="16" max="16384" width="9.33203125" style="73"/>
  </cols>
  <sheetData>
    <row r="1" spans="1:38" ht="19.5" customHeight="1" x14ac:dyDescent="0.45">
      <c r="A1" s="35" t="s">
        <v>133</v>
      </c>
    </row>
    <row r="2" spans="1:38" ht="19.5" customHeight="1" x14ac:dyDescent="0.45">
      <c r="A2" s="35" t="s">
        <v>304</v>
      </c>
    </row>
    <row r="3" spans="1:38" s="77" customFormat="1" ht="19.5" customHeight="1" thickBot="1" x14ac:dyDescent="0.35">
      <c r="A3" s="76"/>
      <c r="C3" s="78"/>
      <c r="D3" s="79"/>
    </row>
    <row r="4" spans="1:38" s="77" customFormat="1" ht="19.5" customHeight="1" thickBot="1" x14ac:dyDescent="0.4">
      <c r="A4" s="73"/>
      <c r="B4" s="73"/>
      <c r="C4" s="74"/>
      <c r="D4" s="75"/>
      <c r="E4" s="73"/>
      <c r="F4" s="73"/>
      <c r="G4" s="73"/>
      <c r="H4" s="73"/>
      <c r="I4" s="73"/>
      <c r="J4" s="73"/>
      <c r="K4" s="73"/>
      <c r="L4" s="73"/>
      <c r="M4" s="73"/>
      <c r="S4" s="138" t="s">
        <v>340</v>
      </c>
      <c r="T4" s="139"/>
      <c r="U4" s="139"/>
      <c r="V4" s="139"/>
      <c r="W4" s="139"/>
      <c r="X4" s="139"/>
      <c r="Y4" s="139"/>
      <c r="Z4" s="140"/>
      <c r="AA4"/>
      <c r="AC4" s="135" t="s">
        <v>341</v>
      </c>
      <c r="AD4" s="136"/>
      <c r="AE4" s="136"/>
      <c r="AF4" s="136"/>
      <c r="AG4" s="136"/>
      <c r="AH4" s="136"/>
      <c r="AI4" s="136"/>
      <c r="AJ4" s="136"/>
      <c r="AK4" s="136"/>
      <c r="AL4" s="137"/>
    </row>
    <row r="5" spans="1:38" ht="19.5" customHeight="1" thickBot="1" x14ac:dyDescent="0.35">
      <c r="A5" s="80"/>
      <c r="B5" s="162" t="s">
        <v>194</v>
      </c>
      <c r="C5" s="163"/>
      <c r="D5" s="163"/>
      <c r="E5" s="81">
        <f>D11+D23+D30+D43</f>
        <v>122.736</v>
      </c>
      <c r="F5" s="82"/>
      <c r="G5" s="164" t="s">
        <v>199</v>
      </c>
      <c r="H5" s="165"/>
      <c r="I5" s="88">
        <f>SUM(I16:I47)</f>
        <v>146.67000000000002</v>
      </c>
      <c r="J5" s="82"/>
      <c r="K5" s="118" t="s">
        <v>223</v>
      </c>
      <c r="L5" s="119"/>
      <c r="M5" s="82"/>
      <c r="S5"/>
      <c r="T5"/>
      <c r="U5"/>
      <c r="V5"/>
      <c r="W5"/>
      <c r="X5"/>
      <c r="Y5"/>
      <c r="Z5"/>
      <c r="AA5"/>
    </row>
    <row r="6" spans="1:38" ht="19.5" customHeight="1" thickBot="1" x14ac:dyDescent="0.35">
      <c r="A6" s="80"/>
      <c r="B6" s="77" t="s">
        <v>195</v>
      </c>
      <c r="C6" s="78"/>
      <c r="D6" s="79"/>
      <c r="E6" s="83"/>
      <c r="F6" s="82"/>
      <c r="G6" s="164" t="s">
        <v>367</v>
      </c>
      <c r="H6" s="165"/>
      <c r="I6" s="88">
        <f>I5*0.75</f>
        <v>110.00250000000001</v>
      </c>
      <c r="J6" s="82"/>
      <c r="K6" s="89" t="s">
        <v>224</v>
      </c>
      <c r="L6" s="145">
        <f>(D11*D23)*0.15</f>
        <v>124.42301999999999</v>
      </c>
      <c r="M6" s="83" t="s">
        <v>10</v>
      </c>
      <c r="N6" s="80"/>
      <c r="O6" s="80"/>
      <c r="P6" s="80"/>
      <c r="Q6" s="80"/>
      <c r="S6"/>
      <c r="T6"/>
      <c r="U6"/>
      <c r="V6"/>
      <c r="W6"/>
      <c r="X6"/>
      <c r="Y6"/>
      <c r="Z6"/>
      <c r="AA6"/>
    </row>
    <row r="7" spans="1:38" s="80" customFormat="1" ht="19.5" customHeight="1" x14ac:dyDescent="0.3">
      <c r="A7" s="77"/>
      <c r="B7" s="77"/>
      <c r="C7" s="78">
        <v>6.3</v>
      </c>
      <c r="D7" s="79"/>
      <c r="E7" s="83"/>
      <c r="F7" s="83"/>
      <c r="G7" s="85" t="s">
        <v>195</v>
      </c>
      <c r="H7" s="83"/>
      <c r="I7" s="83"/>
      <c r="J7" s="83"/>
      <c r="K7" s="89" t="s">
        <v>225</v>
      </c>
      <c r="L7" s="145">
        <f>D11*D23</f>
        <v>829.48680000000002</v>
      </c>
      <c r="M7" s="83" t="s">
        <v>9</v>
      </c>
      <c r="N7" s="77"/>
      <c r="O7" s="77"/>
      <c r="P7" s="77"/>
      <c r="Q7" s="77"/>
      <c r="S7" s="29" t="s">
        <v>30</v>
      </c>
      <c r="T7" s="29">
        <v>5.9249999999999998</v>
      </c>
      <c r="U7"/>
      <c r="V7" s="29" t="s">
        <v>72</v>
      </c>
      <c r="W7" s="29">
        <v>5.9249999999999998</v>
      </c>
      <c r="X7"/>
      <c r="Y7" s="29" t="s">
        <v>114</v>
      </c>
      <c r="Z7" s="29">
        <v>5.0750000000000002</v>
      </c>
      <c r="AA7"/>
    </row>
    <row r="8" spans="1:38" s="77" customFormat="1" ht="19.5" customHeight="1" x14ac:dyDescent="0.3">
      <c r="C8" s="78">
        <v>3.75</v>
      </c>
      <c r="D8" s="79"/>
      <c r="E8" s="83"/>
      <c r="F8" s="83"/>
      <c r="G8" s="83"/>
      <c r="H8" s="83">
        <v>6.3</v>
      </c>
      <c r="I8" s="83"/>
      <c r="J8" s="83"/>
      <c r="K8" s="89"/>
      <c r="L8" s="119"/>
      <c r="M8" s="83"/>
      <c r="S8" s="29" t="s">
        <v>31</v>
      </c>
      <c r="T8" s="29">
        <v>5.9249999999999998</v>
      </c>
      <c r="U8"/>
      <c r="V8" s="29" t="s">
        <v>73</v>
      </c>
      <c r="W8" s="29">
        <v>5.9249999999999998</v>
      </c>
      <c r="X8"/>
      <c r="Y8" s="29" t="s">
        <v>115</v>
      </c>
      <c r="Z8" s="29">
        <v>5.9249999999999998</v>
      </c>
      <c r="AA8"/>
    </row>
    <row r="9" spans="1:38" s="77" customFormat="1" ht="19.5" customHeight="1" x14ac:dyDescent="0.3">
      <c r="C9" s="78">
        <v>3.75</v>
      </c>
      <c r="D9" s="79"/>
      <c r="E9" s="83"/>
      <c r="F9" s="83"/>
      <c r="G9" s="83"/>
      <c r="H9" s="83">
        <v>3.95</v>
      </c>
      <c r="I9" s="83"/>
      <c r="J9" s="83"/>
      <c r="K9" s="89" t="s">
        <v>305</v>
      </c>
      <c r="L9" s="145">
        <f>(D11+2)*(D23+2)</f>
        <v>956.22280000000012</v>
      </c>
      <c r="M9" s="83" t="s">
        <v>9</v>
      </c>
      <c r="S9" s="29" t="s">
        <v>32</v>
      </c>
      <c r="T9" s="29">
        <v>5.9249999999999998</v>
      </c>
      <c r="U9"/>
      <c r="V9" s="29" t="s">
        <v>74</v>
      </c>
      <c r="W9" s="29">
        <v>5.9249999999999998</v>
      </c>
      <c r="X9"/>
      <c r="Y9" s="29" t="s">
        <v>116</v>
      </c>
      <c r="Z9" s="29">
        <v>5.9249999999999998</v>
      </c>
      <c r="AA9"/>
    </row>
    <row r="10" spans="1:38" s="77" customFormat="1" ht="19.5" customHeight="1" x14ac:dyDescent="0.3">
      <c r="C10" s="78">
        <v>6.3</v>
      </c>
      <c r="D10" s="79"/>
      <c r="E10" s="83"/>
      <c r="F10" s="83"/>
      <c r="G10" s="83"/>
      <c r="H10" s="83">
        <v>2.35</v>
      </c>
      <c r="I10" s="83"/>
      <c r="J10" s="83"/>
      <c r="K10" s="83"/>
      <c r="L10" s="119"/>
      <c r="M10" s="83"/>
      <c r="S10" s="29" t="s">
        <v>33</v>
      </c>
      <c r="T10" s="29">
        <v>5.9249999999999998</v>
      </c>
      <c r="U10"/>
      <c r="V10" s="29" t="s">
        <v>75</v>
      </c>
      <c r="W10" s="29">
        <v>5.9249999999999998</v>
      </c>
      <c r="X10"/>
      <c r="Y10" s="29" t="s">
        <v>117</v>
      </c>
      <c r="Z10" s="29">
        <v>5.9249999999999998</v>
      </c>
      <c r="AA10"/>
    </row>
    <row r="11" spans="1:38" s="77" customFormat="1" ht="19.5" customHeight="1" thickBot="1" x14ac:dyDescent="0.35">
      <c r="C11" s="78"/>
      <c r="D11" s="79">
        <f>SUM(C7:C10)</f>
        <v>20.100000000000001</v>
      </c>
      <c r="E11" s="83"/>
      <c r="F11" s="83"/>
      <c r="G11" s="83"/>
      <c r="H11" s="83">
        <v>3.75</v>
      </c>
      <c r="I11" s="83"/>
      <c r="J11" s="83"/>
      <c r="L11" s="120"/>
      <c r="M11" s="83"/>
      <c r="S11" s="29" t="s">
        <v>34</v>
      </c>
      <c r="T11" s="29">
        <v>5.9249999999999998</v>
      </c>
      <c r="U11"/>
      <c r="V11" s="29" t="s">
        <v>76</v>
      </c>
      <c r="W11" s="29">
        <v>5.9249999999999998</v>
      </c>
      <c r="X11"/>
      <c r="Y11" s="29" t="s">
        <v>118</v>
      </c>
      <c r="Z11" s="29">
        <v>5.9249999999999998</v>
      </c>
      <c r="AA11"/>
    </row>
    <row r="12" spans="1:38" s="77" customFormat="1" ht="19.5" customHeight="1" thickBot="1" x14ac:dyDescent="0.35">
      <c r="C12" s="78"/>
      <c r="D12" s="79"/>
      <c r="E12" s="83"/>
      <c r="F12" s="83"/>
      <c r="G12" s="83"/>
      <c r="H12" s="83">
        <v>3.75</v>
      </c>
      <c r="I12" s="83"/>
      <c r="J12" s="83"/>
      <c r="K12" s="118" t="s">
        <v>334</v>
      </c>
      <c r="L12" s="83"/>
      <c r="M12" s="83"/>
      <c r="S12" s="29" t="s">
        <v>35</v>
      </c>
      <c r="T12" s="29">
        <v>5.9249999999999998</v>
      </c>
      <c r="U12"/>
      <c r="V12" s="29" t="s">
        <v>77</v>
      </c>
      <c r="W12" s="29">
        <v>5.9249999999999998</v>
      </c>
      <c r="X12"/>
      <c r="Y12" s="29" t="s">
        <v>119</v>
      </c>
      <c r="Z12" s="29">
        <v>5.9249999999999998</v>
      </c>
      <c r="AA12"/>
    </row>
    <row r="13" spans="1:38" s="77" customFormat="1" ht="19.5" customHeight="1" x14ac:dyDescent="0.3">
      <c r="C13" s="79"/>
      <c r="E13" s="83"/>
      <c r="F13" s="83"/>
      <c r="G13" s="83"/>
      <c r="H13" s="83">
        <v>3.95</v>
      </c>
      <c r="I13" s="83"/>
      <c r="J13" s="83"/>
      <c r="K13" s="89" t="s">
        <v>224</v>
      </c>
      <c r="L13" s="145">
        <f>11.5*0.2</f>
        <v>2.3000000000000003</v>
      </c>
      <c r="M13" s="83" t="s">
        <v>10</v>
      </c>
      <c r="S13" s="29" t="s">
        <v>36</v>
      </c>
      <c r="T13" s="29">
        <v>5.9249999999999998</v>
      </c>
      <c r="U13"/>
      <c r="V13" s="29" t="s">
        <v>78</v>
      </c>
      <c r="W13" s="29">
        <v>5.9249999999999998</v>
      </c>
      <c r="X13"/>
      <c r="Y13" s="29" t="s">
        <v>120</v>
      </c>
      <c r="Z13" s="29">
        <v>5.9249999999999998</v>
      </c>
      <c r="AA13"/>
    </row>
    <row r="14" spans="1:38" s="77" customFormat="1" ht="19.5" customHeight="1" x14ac:dyDescent="0.3">
      <c r="B14" s="86" t="s">
        <v>196</v>
      </c>
      <c r="C14" s="78"/>
      <c r="D14" s="79"/>
      <c r="E14" s="83"/>
      <c r="F14" s="83"/>
      <c r="G14" s="83"/>
      <c r="H14" s="83">
        <v>2.35</v>
      </c>
      <c r="I14" s="83"/>
      <c r="J14" s="83"/>
      <c r="K14" s="89" t="s">
        <v>225</v>
      </c>
      <c r="L14" s="145">
        <v>11.5</v>
      </c>
      <c r="M14" s="83" t="s">
        <v>9</v>
      </c>
      <c r="S14" s="29" t="s">
        <v>37</v>
      </c>
      <c r="T14" s="29">
        <v>5.9249999999999998</v>
      </c>
      <c r="U14"/>
      <c r="V14" s="29" t="s">
        <v>79</v>
      </c>
      <c r="W14" s="29">
        <v>5.9249999999999998</v>
      </c>
      <c r="X14"/>
      <c r="Y14" s="29" t="s">
        <v>121</v>
      </c>
      <c r="Z14" s="29">
        <v>5.4749999999999996</v>
      </c>
      <c r="AA14"/>
    </row>
    <row r="15" spans="1:38" s="77" customFormat="1" ht="19.5" customHeight="1" x14ac:dyDescent="0.3">
      <c r="C15" s="78">
        <v>3.95</v>
      </c>
      <c r="D15" s="79"/>
      <c r="E15" s="83"/>
      <c r="F15" s="83"/>
      <c r="G15" s="83"/>
      <c r="H15" s="83">
        <v>6.3</v>
      </c>
      <c r="I15" s="83"/>
      <c r="J15" s="83"/>
      <c r="K15" s="83"/>
      <c r="L15" s="83"/>
      <c r="M15" s="83"/>
      <c r="S15" s="29" t="s">
        <v>38</v>
      </c>
      <c r="T15" s="29">
        <v>5.9249999999999998</v>
      </c>
      <c r="U15"/>
      <c r="V15" s="29" t="s">
        <v>80</v>
      </c>
      <c r="W15" s="29">
        <v>5.9249999999999998</v>
      </c>
      <c r="X15"/>
      <c r="Y15" s="29" t="s">
        <v>122</v>
      </c>
      <c r="Z15" s="29">
        <v>5.4749999999999996</v>
      </c>
      <c r="AA15"/>
    </row>
    <row r="16" spans="1:38" s="77" customFormat="1" ht="19.5" customHeight="1" thickBot="1" x14ac:dyDescent="0.35">
      <c r="C16" s="78">
        <v>2.35</v>
      </c>
      <c r="D16" s="79"/>
      <c r="E16" s="83"/>
      <c r="F16" s="83"/>
      <c r="G16" s="83"/>
      <c r="H16" s="83"/>
      <c r="I16" s="89">
        <f>SUM(H8:H15)</f>
        <v>32.700000000000003</v>
      </c>
      <c r="J16" s="83"/>
      <c r="K16" s="83"/>
      <c r="L16" s="83"/>
      <c r="M16" s="83"/>
      <c r="S16" s="29" t="s">
        <v>39</v>
      </c>
      <c r="T16" s="29">
        <v>5.9249999999999998</v>
      </c>
      <c r="U16"/>
      <c r="V16" s="29" t="s">
        <v>81</v>
      </c>
      <c r="W16" s="29">
        <v>5.9249999999999998</v>
      </c>
      <c r="X16"/>
      <c r="Y16" s="29" t="s">
        <v>123</v>
      </c>
      <c r="Z16" s="29">
        <v>5.4749999999999996</v>
      </c>
      <c r="AA16"/>
    </row>
    <row r="17" spans="1:27" s="77" customFormat="1" ht="19.5" customHeight="1" thickBot="1" x14ac:dyDescent="0.35">
      <c r="C17" s="78">
        <v>3.95</v>
      </c>
      <c r="D17" s="79"/>
      <c r="E17" s="83"/>
      <c r="F17" s="83"/>
      <c r="G17" s="83"/>
      <c r="H17" s="83"/>
      <c r="I17" s="83"/>
      <c r="J17" s="83"/>
      <c r="K17" s="118" t="s">
        <v>451</v>
      </c>
      <c r="L17" s="83"/>
      <c r="M17" s="83"/>
      <c r="S17" s="29" t="s">
        <v>40</v>
      </c>
      <c r="T17" s="29">
        <v>5.9249999999999998</v>
      </c>
      <c r="U17"/>
      <c r="V17" s="29" t="s">
        <v>82</v>
      </c>
      <c r="W17" s="29">
        <v>5.9249999999999998</v>
      </c>
      <c r="X17"/>
      <c r="Y17" s="29" t="s">
        <v>124</v>
      </c>
      <c r="Z17" s="29">
        <v>5.4749999999999996</v>
      </c>
      <c r="AA17"/>
    </row>
    <row r="18" spans="1:27" s="77" customFormat="1" ht="19.5" customHeight="1" x14ac:dyDescent="0.3">
      <c r="C18" s="78">
        <v>6.3</v>
      </c>
      <c r="D18" s="79"/>
      <c r="E18" s="83"/>
      <c r="F18" s="83"/>
      <c r="G18" s="90" t="s">
        <v>196</v>
      </c>
      <c r="H18" s="83"/>
      <c r="I18" s="83"/>
      <c r="J18" s="83"/>
      <c r="K18" s="83" t="s">
        <v>452</v>
      </c>
      <c r="L18" s="83">
        <v>7.9</v>
      </c>
      <c r="M18" s="83"/>
      <c r="S18" s="29" t="s">
        <v>41</v>
      </c>
      <c r="T18" s="29">
        <v>5.9249999999999998</v>
      </c>
      <c r="U18"/>
      <c r="V18" s="29" t="s">
        <v>83</v>
      </c>
      <c r="W18" s="29">
        <v>5.9249999999999998</v>
      </c>
      <c r="X18"/>
      <c r="Y18" s="29" t="s">
        <v>125</v>
      </c>
      <c r="Z18" s="29">
        <v>5.9249999999999998</v>
      </c>
      <c r="AA18"/>
    </row>
    <row r="19" spans="1:27" s="77" customFormat="1" ht="19.5" customHeight="1" x14ac:dyDescent="0.3">
      <c r="C19" s="87">
        <v>6.3</v>
      </c>
      <c r="E19" s="83"/>
      <c r="F19" s="83"/>
      <c r="G19" s="83"/>
      <c r="H19" s="83">
        <v>3.95</v>
      </c>
      <c r="I19" s="83"/>
      <c r="J19" s="83"/>
      <c r="K19" s="83"/>
      <c r="L19" s="83">
        <v>6.5750000000000002</v>
      </c>
      <c r="M19" s="83"/>
      <c r="S19" s="29" t="s">
        <v>42</v>
      </c>
      <c r="T19" s="29">
        <v>5.9249999999999998</v>
      </c>
      <c r="U19"/>
      <c r="V19" s="29" t="s">
        <v>84</v>
      </c>
      <c r="W19" s="29">
        <v>5.9249999999999998</v>
      </c>
      <c r="X19"/>
      <c r="Y19"/>
      <c r="Z19" s="20">
        <f>SUM(Z7:Z18)</f>
        <v>68.45</v>
      </c>
      <c r="AA19"/>
    </row>
    <row r="20" spans="1:27" s="77" customFormat="1" ht="19.5" customHeight="1" x14ac:dyDescent="0.3">
      <c r="C20" s="87">
        <v>6.3</v>
      </c>
      <c r="D20" s="79"/>
      <c r="E20" s="83"/>
      <c r="F20" s="83"/>
      <c r="G20" s="83"/>
      <c r="H20" s="83">
        <v>2.35</v>
      </c>
      <c r="I20" s="83"/>
      <c r="J20" s="83"/>
      <c r="L20" s="83"/>
      <c r="M20" s="89">
        <f>L19*L18</f>
        <v>51.942500000000003</v>
      </c>
      <c r="S20" s="29" t="s">
        <v>43</v>
      </c>
      <c r="T20" s="29">
        <v>5.9249999999999998</v>
      </c>
      <c r="U20"/>
      <c r="V20" s="29" t="s">
        <v>85</v>
      </c>
      <c r="W20" s="29">
        <v>5.9249999999999998</v>
      </c>
      <c r="X20"/>
      <c r="Y20"/>
      <c r="Z20"/>
      <c r="AA20"/>
    </row>
    <row r="21" spans="1:27" s="77" customFormat="1" ht="19.5" customHeight="1" x14ac:dyDescent="0.3">
      <c r="C21" s="87">
        <v>6.3</v>
      </c>
      <c r="D21" s="79"/>
      <c r="E21" s="83"/>
      <c r="F21" s="83"/>
      <c r="G21" s="83"/>
      <c r="H21" s="83">
        <v>3.95</v>
      </c>
      <c r="I21" s="83"/>
      <c r="J21" s="83"/>
      <c r="K21" s="83" t="s">
        <v>453</v>
      </c>
      <c r="L21" s="83">
        <v>7.9</v>
      </c>
      <c r="M21" s="83"/>
      <c r="S21" s="29" t="s">
        <v>44</v>
      </c>
      <c r="T21" s="29">
        <v>5.9249999999999998</v>
      </c>
      <c r="U21"/>
      <c r="V21" s="29" t="s">
        <v>86</v>
      </c>
      <c r="W21" s="29">
        <v>5.9249999999999998</v>
      </c>
      <c r="X21"/>
      <c r="Y21"/>
      <c r="Z21"/>
      <c r="AA21"/>
    </row>
    <row r="22" spans="1:27" s="77" customFormat="1" ht="19.5" customHeight="1" x14ac:dyDescent="0.3">
      <c r="C22" s="87">
        <v>5.8179999999999996</v>
      </c>
      <c r="D22" s="79"/>
      <c r="E22" s="83"/>
      <c r="F22" s="83"/>
      <c r="G22" s="83"/>
      <c r="H22" s="83">
        <v>6.3</v>
      </c>
      <c r="I22" s="83"/>
      <c r="J22" s="83"/>
      <c r="K22" s="83"/>
      <c r="L22" s="83">
        <v>5.5</v>
      </c>
      <c r="M22" s="83"/>
      <c r="S22" s="29" t="s">
        <v>45</v>
      </c>
      <c r="T22" s="29">
        <v>5.9249999999999998</v>
      </c>
      <c r="U22"/>
      <c r="V22" s="29" t="s">
        <v>87</v>
      </c>
      <c r="W22" s="29">
        <v>5.9249999999999998</v>
      </c>
      <c r="X22"/>
      <c r="Y22"/>
      <c r="Z22"/>
      <c r="AA22"/>
    </row>
    <row r="23" spans="1:27" s="77" customFormat="1" ht="19.5" customHeight="1" x14ac:dyDescent="0.3">
      <c r="C23" s="79"/>
      <c r="D23" s="79">
        <f>SUM(C15:C22)</f>
        <v>41.268000000000001</v>
      </c>
      <c r="E23" s="83"/>
      <c r="F23" s="83"/>
      <c r="G23" s="83"/>
      <c r="H23" s="83">
        <v>6.3</v>
      </c>
      <c r="I23" s="83"/>
      <c r="J23" s="83"/>
      <c r="K23" s="83"/>
      <c r="M23" s="89">
        <f>L21*L22</f>
        <v>43.45</v>
      </c>
      <c r="S23" s="29" t="s">
        <v>46</v>
      </c>
      <c r="T23" s="29">
        <v>5.9249999999999998</v>
      </c>
      <c r="U23"/>
      <c r="V23" s="29" t="s">
        <v>88</v>
      </c>
      <c r="W23" s="29">
        <v>5.9249999999999998</v>
      </c>
      <c r="X23"/>
      <c r="Y23"/>
      <c r="Z23"/>
      <c r="AA23"/>
    </row>
    <row r="24" spans="1:27" s="77" customFormat="1" ht="19.5" customHeight="1" x14ac:dyDescent="0.3">
      <c r="C24" s="79"/>
      <c r="D24" s="79"/>
      <c r="E24" s="83"/>
      <c r="F24" s="83"/>
      <c r="G24" s="83"/>
      <c r="H24" s="83">
        <v>6.3</v>
      </c>
      <c r="I24" s="83"/>
      <c r="J24" s="83"/>
      <c r="K24" s="83"/>
      <c r="L24" s="83">
        <f>2.68+0.9+1.785</f>
        <v>5.3650000000000002</v>
      </c>
      <c r="M24" s="83"/>
      <c r="S24" s="29" t="s">
        <v>47</v>
      </c>
      <c r="T24" s="29">
        <v>5.9249999999999998</v>
      </c>
      <c r="U24"/>
      <c r="V24" s="29" t="s">
        <v>89</v>
      </c>
      <c r="W24" s="29">
        <v>5.9249999999999998</v>
      </c>
      <c r="X24"/>
      <c r="Y24"/>
      <c r="Z24"/>
      <c r="AA24"/>
    </row>
    <row r="25" spans="1:27" s="77" customFormat="1" ht="19.5" customHeight="1" x14ac:dyDescent="0.3">
      <c r="B25" s="77" t="s">
        <v>197</v>
      </c>
      <c r="C25" s="79"/>
      <c r="D25" s="79"/>
      <c r="E25" s="83"/>
      <c r="F25" s="83"/>
      <c r="G25" s="83"/>
      <c r="H25" s="83">
        <v>6.3</v>
      </c>
      <c r="I25" s="83"/>
      <c r="J25" s="83"/>
      <c r="K25" s="83"/>
      <c r="L25" s="83">
        <v>6.3</v>
      </c>
      <c r="M25" s="83"/>
      <c r="S25" s="29" t="s">
        <v>48</v>
      </c>
      <c r="T25" s="29">
        <v>5.9249999999999998</v>
      </c>
      <c r="U25"/>
      <c r="V25" s="29" t="s">
        <v>90</v>
      </c>
      <c r="W25" s="29">
        <v>5.9249999999999998</v>
      </c>
      <c r="X25"/>
      <c r="Y25"/>
      <c r="Z25"/>
      <c r="AA25"/>
    </row>
    <row r="26" spans="1:27" s="77" customFormat="1" ht="19.5" customHeight="1" x14ac:dyDescent="0.3">
      <c r="C26" s="78">
        <v>6.3</v>
      </c>
      <c r="D26" s="79"/>
      <c r="E26" s="83"/>
      <c r="F26" s="83"/>
      <c r="G26" s="83"/>
      <c r="H26" s="83">
        <v>5.8179999999999996</v>
      </c>
      <c r="I26" s="83"/>
      <c r="J26" s="83"/>
      <c r="K26" s="83"/>
      <c r="L26" s="83"/>
      <c r="M26" s="89">
        <f>L24*L25</f>
        <v>33.799500000000002</v>
      </c>
      <c r="S26" s="29" t="s">
        <v>49</v>
      </c>
      <c r="T26" s="29">
        <v>5.9249999999999998</v>
      </c>
      <c r="U26"/>
      <c r="V26" s="29" t="s">
        <v>91</v>
      </c>
      <c r="W26" s="29">
        <v>5.9249999999999998</v>
      </c>
      <c r="X26"/>
      <c r="Y26"/>
      <c r="Z26"/>
      <c r="AA26"/>
    </row>
    <row r="27" spans="1:27" s="77" customFormat="1" ht="19.5" customHeight="1" x14ac:dyDescent="0.3">
      <c r="C27" s="78">
        <v>3.75</v>
      </c>
      <c r="D27" s="79"/>
      <c r="E27" s="83"/>
      <c r="F27" s="83"/>
      <c r="G27" s="83"/>
      <c r="H27" s="83"/>
      <c r="I27" s="89">
        <f>SUM(H19:H26)</f>
        <v>41.268000000000001</v>
      </c>
      <c r="J27" s="83"/>
      <c r="K27" s="83"/>
      <c r="L27" s="83"/>
      <c r="M27" s="224">
        <f>SUM(M20:M26)</f>
        <v>129.19200000000001</v>
      </c>
      <c r="N27" s="77" t="s">
        <v>9</v>
      </c>
      <c r="S27" s="29" t="s">
        <v>50</v>
      </c>
      <c r="T27" s="29">
        <v>5.9249999999999998</v>
      </c>
      <c r="U27"/>
      <c r="V27" s="29" t="s">
        <v>92</v>
      </c>
      <c r="W27" s="29">
        <v>5.0750000000000002</v>
      </c>
      <c r="X27"/>
      <c r="Y27"/>
      <c r="Z27"/>
      <c r="AA27"/>
    </row>
    <row r="28" spans="1:27" s="77" customFormat="1" ht="19.5" customHeight="1" x14ac:dyDescent="0.3">
      <c r="A28" s="73"/>
      <c r="C28" s="78">
        <v>3.75</v>
      </c>
      <c r="D28" s="79"/>
      <c r="E28" s="83"/>
      <c r="F28" s="73"/>
      <c r="G28" s="85" t="s">
        <v>197</v>
      </c>
      <c r="H28" s="73"/>
      <c r="I28" s="73"/>
      <c r="J28" s="73"/>
      <c r="K28" s="83"/>
      <c r="L28" s="83"/>
      <c r="M28" s="83"/>
      <c r="S28" s="29" t="s">
        <v>51</v>
      </c>
      <c r="T28" s="29">
        <v>5.9249999999999998</v>
      </c>
      <c r="U28"/>
      <c r="V28" s="29" t="s">
        <v>93</v>
      </c>
      <c r="W28" s="29">
        <v>5.0750000000000002</v>
      </c>
      <c r="X28"/>
      <c r="Y28"/>
      <c r="Z28"/>
      <c r="AA28"/>
    </row>
    <row r="29" spans="1:27" ht="19.5" customHeight="1" x14ac:dyDescent="0.3">
      <c r="B29" s="77"/>
      <c r="C29" s="78">
        <v>6.3</v>
      </c>
      <c r="D29" s="79"/>
      <c r="E29" s="83"/>
      <c r="H29" s="73">
        <v>6.3</v>
      </c>
      <c r="K29" s="83"/>
      <c r="L29" s="83"/>
      <c r="M29" s="83"/>
      <c r="N29" s="77"/>
      <c r="O29" s="77"/>
      <c r="P29" s="77"/>
      <c r="Q29" s="77"/>
      <c r="S29" s="29" t="s">
        <v>52</v>
      </c>
      <c r="T29" s="29">
        <v>5.9249999999999998</v>
      </c>
      <c r="U29"/>
      <c r="V29" s="29" t="s">
        <v>94</v>
      </c>
      <c r="W29" s="29">
        <v>5.0750000000000002</v>
      </c>
      <c r="X29"/>
      <c r="Y29"/>
      <c r="Z29"/>
      <c r="AA29"/>
    </row>
    <row r="30" spans="1:27" ht="19.5" customHeight="1" thickBot="1" x14ac:dyDescent="0.35">
      <c r="B30" s="77"/>
      <c r="C30" s="78"/>
      <c r="D30" s="79">
        <f>SUM(C26:C29)</f>
        <v>20.100000000000001</v>
      </c>
      <c r="E30" s="83"/>
      <c r="H30" s="73">
        <v>1.9810000000000001</v>
      </c>
      <c r="K30" s="83"/>
      <c r="L30" s="83"/>
      <c r="M30" s="83"/>
      <c r="N30" s="77"/>
      <c r="O30" s="77"/>
      <c r="P30" s="77"/>
      <c r="Q30" s="77"/>
      <c r="S30" s="29" t="s">
        <v>53</v>
      </c>
      <c r="T30" s="29">
        <v>5.9249999999999998</v>
      </c>
      <c r="U30"/>
      <c r="V30" s="29" t="s">
        <v>95</v>
      </c>
      <c r="W30" s="29">
        <v>5.0750000000000002</v>
      </c>
      <c r="X30"/>
      <c r="Y30"/>
      <c r="Z30"/>
      <c r="AA30"/>
    </row>
    <row r="31" spans="1:27" ht="19.5" customHeight="1" thickBot="1" x14ac:dyDescent="0.35">
      <c r="B31" s="77"/>
      <c r="C31" s="78"/>
      <c r="D31" s="79"/>
      <c r="E31" s="83"/>
      <c r="H31" s="73">
        <v>3.6859999999999999</v>
      </c>
      <c r="K31" s="118" t="s">
        <v>450</v>
      </c>
      <c r="L31" s="83"/>
      <c r="M31" s="83"/>
      <c r="N31" s="77"/>
      <c r="O31" s="77"/>
      <c r="P31" s="77"/>
      <c r="Q31" s="77"/>
      <c r="S31" s="29" t="s">
        <v>54</v>
      </c>
      <c r="T31" s="29">
        <v>5.9249999999999998</v>
      </c>
      <c r="U31"/>
      <c r="V31" s="29" t="s">
        <v>96</v>
      </c>
      <c r="W31" s="29">
        <v>5.4749999999999996</v>
      </c>
      <c r="X31"/>
      <c r="Y31"/>
      <c r="Z31"/>
      <c r="AA31"/>
    </row>
    <row r="32" spans="1:27" ht="19.5" customHeight="1" x14ac:dyDescent="0.3">
      <c r="B32" s="77"/>
      <c r="C32" s="78"/>
      <c r="D32" s="79"/>
      <c r="E32" s="83"/>
      <c r="H32" s="73">
        <v>3.75</v>
      </c>
      <c r="K32" s="83" t="s">
        <v>452</v>
      </c>
      <c r="L32" s="83"/>
      <c r="M32" s="83"/>
      <c r="N32" s="77"/>
      <c r="O32" s="77"/>
      <c r="P32" s="77"/>
      <c r="Q32" s="77"/>
      <c r="S32" s="29" t="s">
        <v>55</v>
      </c>
      <c r="T32" s="29">
        <v>5.9249999999999998</v>
      </c>
      <c r="U32"/>
      <c r="V32" s="29" t="s">
        <v>97</v>
      </c>
      <c r="W32" s="29">
        <v>5.4749999999999996</v>
      </c>
      <c r="X32"/>
      <c r="Y32"/>
      <c r="Z32"/>
      <c r="AA32"/>
    </row>
    <row r="33" spans="2:27" ht="19.5" customHeight="1" x14ac:dyDescent="0.3">
      <c r="B33" s="77"/>
      <c r="C33" s="78"/>
      <c r="D33" s="79"/>
      <c r="E33" s="83"/>
      <c r="H33" s="73">
        <v>3.75</v>
      </c>
      <c r="K33" s="83"/>
      <c r="L33" s="83">
        <v>1.1719999999999999</v>
      </c>
      <c r="M33" s="83"/>
      <c r="N33" s="77"/>
      <c r="O33" s="77"/>
      <c r="P33" s="77"/>
      <c r="Q33" s="77"/>
      <c r="S33" s="29" t="s">
        <v>56</v>
      </c>
      <c r="T33" s="29">
        <v>5.9249999999999998</v>
      </c>
      <c r="U33"/>
      <c r="V33" s="29" t="s">
        <v>98</v>
      </c>
      <c r="W33" s="29">
        <v>5.4749999999999996</v>
      </c>
      <c r="X33"/>
      <c r="Y33"/>
      <c r="Z33"/>
      <c r="AA33"/>
    </row>
    <row r="34" spans="2:27" ht="19.5" customHeight="1" x14ac:dyDescent="0.3">
      <c r="B34" s="86" t="s">
        <v>198</v>
      </c>
      <c r="C34" s="78"/>
      <c r="D34" s="79"/>
      <c r="E34" s="83"/>
      <c r="H34" s="73">
        <v>1.9810000000000001</v>
      </c>
      <c r="K34" s="83"/>
      <c r="L34" s="83">
        <v>0.42799999999999999</v>
      </c>
      <c r="M34" s="83"/>
      <c r="N34" s="77"/>
      <c r="O34" s="77"/>
      <c r="P34" s="77"/>
      <c r="Q34" s="77"/>
      <c r="S34" s="29" t="s">
        <v>57</v>
      </c>
      <c r="T34" s="29">
        <v>5.9249999999999998</v>
      </c>
      <c r="U34"/>
      <c r="V34" s="29" t="s">
        <v>99</v>
      </c>
      <c r="W34" s="29">
        <v>5.4749999999999996</v>
      </c>
      <c r="X34"/>
      <c r="Y34"/>
      <c r="Z34"/>
      <c r="AA34"/>
    </row>
    <row r="35" spans="2:27" ht="19.5" customHeight="1" x14ac:dyDescent="0.3">
      <c r="B35" s="77"/>
      <c r="C35" s="78">
        <v>3.95</v>
      </c>
      <c r="D35" s="79"/>
      <c r="E35" s="83"/>
      <c r="H35" s="73">
        <v>3.6859999999999999</v>
      </c>
      <c r="K35" s="83"/>
      <c r="L35" s="83">
        <v>1.6</v>
      </c>
      <c r="M35" s="83"/>
      <c r="N35" s="77"/>
      <c r="O35" s="77"/>
      <c r="P35" s="77"/>
      <c r="Q35" s="77"/>
      <c r="S35" s="29" t="s">
        <v>58</v>
      </c>
      <c r="T35" s="29">
        <v>5.9249999999999998</v>
      </c>
      <c r="U35"/>
      <c r="V35" s="29" t="s">
        <v>100</v>
      </c>
      <c r="W35" s="29">
        <v>5.0750000000000002</v>
      </c>
      <c r="X35"/>
      <c r="Y35"/>
      <c r="Z35"/>
      <c r="AA35"/>
    </row>
    <row r="36" spans="2:27" ht="19.5" customHeight="1" x14ac:dyDescent="0.3">
      <c r="B36" s="77"/>
      <c r="C36" s="78">
        <v>2.35</v>
      </c>
      <c r="D36" s="79"/>
      <c r="H36" s="73">
        <v>6.3</v>
      </c>
      <c r="K36" s="83"/>
      <c r="L36" s="83">
        <f>6.3-0.77</f>
        <v>5.5299999999999994</v>
      </c>
      <c r="M36" s="83"/>
      <c r="N36" s="77"/>
      <c r="O36" s="77"/>
      <c r="P36" s="77"/>
      <c r="Q36" s="77"/>
      <c r="S36" s="29" t="s">
        <v>59</v>
      </c>
      <c r="T36" s="29">
        <v>5.9249999999999998</v>
      </c>
      <c r="U36"/>
      <c r="V36" s="29" t="s">
        <v>101</v>
      </c>
      <c r="W36" s="29">
        <v>5.0750000000000002</v>
      </c>
      <c r="X36"/>
      <c r="Y36"/>
      <c r="Z36"/>
      <c r="AA36"/>
    </row>
    <row r="37" spans="2:27" ht="19.5" customHeight="1" x14ac:dyDescent="0.3">
      <c r="B37" s="77"/>
      <c r="C37" s="78">
        <v>3.95</v>
      </c>
      <c r="D37" s="79"/>
      <c r="I37" s="84">
        <f>SUM(H29:H36)</f>
        <v>31.434000000000001</v>
      </c>
      <c r="K37" s="83"/>
      <c r="L37" s="73">
        <v>5.53</v>
      </c>
      <c r="M37" s="83"/>
      <c r="N37" s="77"/>
      <c r="O37" s="77"/>
      <c r="P37" s="77"/>
      <c r="Q37" s="77"/>
      <c r="S37" s="29" t="s">
        <v>60</v>
      </c>
      <c r="T37" s="29">
        <v>5.9249999999999998</v>
      </c>
      <c r="U37"/>
      <c r="V37" s="29" t="s">
        <v>102</v>
      </c>
      <c r="W37" s="29">
        <v>5.0750000000000002</v>
      </c>
      <c r="X37"/>
      <c r="Y37"/>
      <c r="Z37"/>
      <c r="AA37"/>
    </row>
    <row r="38" spans="2:27" ht="19.5" customHeight="1" x14ac:dyDescent="0.3">
      <c r="B38" s="77"/>
      <c r="C38" s="78">
        <v>6.3</v>
      </c>
      <c r="D38" s="79"/>
      <c r="G38" s="90" t="s">
        <v>198</v>
      </c>
      <c r="H38" s="78"/>
      <c r="I38" s="79"/>
      <c r="K38" s="83"/>
      <c r="L38" s="83">
        <f>6.3-1.17</f>
        <v>5.13</v>
      </c>
      <c r="M38" s="83"/>
      <c r="N38" s="77"/>
      <c r="O38" s="77"/>
      <c r="P38" s="77"/>
      <c r="Q38" s="77"/>
      <c r="S38" s="29" t="s">
        <v>61</v>
      </c>
      <c r="T38" s="29">
        <v>5.9249999999999998</v>
      </c>
      <c r="U38"/>
      <c r="V38" s="29" t="s">
        <v>103</v>
      </c>
      <c r="W38" s="29">
        <v>5.0750000000000002</v>
      </c>
      <c r="X38"/>
      <c r="Y38"/>
      <c r="Z38"/>
      <c r="AA38"/>
    </row>
    <row r="39" spans="2:27" ht="19.5" customHeight="1" x14ac:dyDescent="0.3">
      <c r="B39" s="77"/>
      <c r="C39" s="87">
        <v>6.3</v>
      </c>
      <c r="D39" s="77"/>
      <c r="G39" s="77"/>
      <c r="H39" s="78">
        <v>3.95</v>
      </c>
      <c r="I39" s="79"/>
      <c r="K39" s="83"/>
      <c r="L39" s="83">
        <v>6.3</v>
      </c>
      <c r="M39" s="83"/>
      <c r="N39" s="77"/>
      <c r="O39" s="77"/>
      <c r="P39" s="77"/>
      <c r="Q39" s="77"/>
      <c r="S39" s="29" t="s">
        <v>62</v>
      </c>
      <c r="T39" s="29">
        <v>5.9249999999999998</v>
      </c>
      <c r="U39"/>
      <c r="V39" s="29" t="s">
        <v>104</v>
      </c>
      <c r="W39" s="29">
        <v>5.4749999999999996</v>
      </c>
      <c r="X39"/>
      <c r="Y39"/>
      <c r="Z39"/>
      <c r="AA39"/>
    </row>
    <row r="40" spans="2:27" ht="19.5" customHeight="1" x14ac:dyDescent="0.3">
      <c r="B40" s="77"/>
      <c r="C40" s="87">
        <v>6.3</v>
      </c>
      <c r="D40" s="79"/>
      <c r="G40" s="77"/>
      <c r="H40" s="78">
        <v>2.35</v>
      </c>
      <c r="I40" s="79"/>
      <c r="K40" s="83"/>
      <c r="L40" s="89">
        <f>SUM(L33:L39)</f>
        <v>25.69</v>
      </c>
      <c r="M40" s="83" t="s">
        <v>12</v>
      </c>
      <c r="N40" s="77"/>
      <c r="O40" s="77"/>
      <c r="P40" s="77"/>
      <c r="Q40" s="77"/>
      <c r="S40" s="29" t="s">
        <v>63</v>
      </c>
      <c r="T40" s="29">
        <v>5.9249999999999998</v>
      </c>
      <c r="U40"/>
      <c r="V40" s="29" t="s">
        <v>105</v>
      </c>
      <c r="W40" s="29">
        <v>5.4749999999999996</v>
      </c>
      <c r="X40"/>
      <c r="Y40"/>
      <c r="Z40"/>
      <c r="AA40"/>
    </row>
    <row r="41" spans="2:27" ht="19.5" customHeight="1" x14ac:dyDescent="0.3">
      <c r="B41" s="77"/>
      <c r="C41" s="87">
        <v>6.3</v>
      </c>
      <c r="D41" s="79"/>
      <c r="G41" s="77"/>
      <c r="H41" s="78">
        <v>3.95</v>
      </c>
      <c r="I41" s="79"/>
      <c r="K41" s="83"/>
      <c r="L41" s="83"/>
      <c r="M41" s="83"/>
      <c r="N41" s="77"/>
      <c r="O41" s="77"/>
      <c r="P41" s="77"/>
      <c r="Q41" s="77"/>
      <c r="S41" s="29" t="s">
        <v>64</v>
      </c>
      <c r="T41" s="29">
        <v>5.9249999999999998</v>
      </c>
      <c r="U41"/>
      <c r="V41" s="29" t="s">
        <v>106</v>
      </c>
      <c r="W41" s="29">
        <v>5.4749999999999996</v>
      </c>
      <c r="X41"/>
      <c r="Y41"/>
      <c r="Z41"/>
      <c r="AA41"/>
    </row>
    <row r="42" spans="2:27" ht="19.5" customHeight="1" x14ac:dyDescent="0.3">
      <c r="B42" s="77"/>
      <c r="C42" s="87">
        <v>5.8179999999999996</v>
      </c>
      <c r="D42" s="79"/>
      <c r="G42" s="77"/>
      <c r="H42" s="78">
        <v>6.3</v>
      </c>
      <c r="I42" s="79"/>
      <c r="K42" s="83" t="s">
        <v>453</v>
      </c>
      <c r="L42" s="83"/>
      <c r="M42" s="83"/>
      <c r="N42" s="77"/>
      <c r="O42" s="77"/>
      <c r="P42" s="77"/>
      <c r="Q42" s="77"/>
      <c r="S42" s="29" t="s">
        <v>65</v>
      </c>
      <c r="T42" s="29">
        <v>5.9249999999999998</v>
      </c>
      <c r="U42"/>
      <c r="V42" s="29" t="s">
        <v>107</v>
      </c>
      <c r="W42" s="29">
        <v>5.4749999999999996</v>
      </c>
      <c r="X42"/>
      <c r="Y42"/>
      <c r="Z42"/>
      <c r="AA42"/>
    </row>
    <row r="43" spans="2:27" ht="19.5" customHeight="1" x14ac:dyDescent="0.3">
      <c r="B43" s="77"/>
      <c r="C43" s="79"/>
      <c r="D43" s="79">
        <f>SUM(C35:C42)</f>
        <v>41.268000000000001</v>
      </c>
      <c r="G43" s="77"/>
      <c r="H43" s="87">
        <v>6.3</v>
      </c>
      <c r="I43" s="77"/>
      <c r="K43" s="83"/>
      <c r="L43" s="83">
        <v>2.68</v>
      </c>
      <c r="M43" s="83"/>
      <c r="N43" s="77"/>
      <c r="O43" s="77"/>
      <c r="P43" s="77"/>
      <c r="Q43" s="77"/>
      <c r="S43" s="29" t="s">
        <v>66</v>
      </c>
      <c r="T43" s="29">
        <v>5.9249999999999998</v>
      </c>
      <c r="U43"/>
      <c r="V43" s="29" t="s">
        <v>108</v>
      </c>
      <c r="W43" s="29">
        <v>5.9249999999999998</v>
      </c>
      <c r="X43"/>
      <c r="Y43"/>
      <c r="Z43"/>
      <c r="AA43"/>
    </row>
    <row r="44" spans="2:27" ht="19.5" customHeight="1" x14ac:dyDescent="0.3">
      <c r="G44" s="77"/>
      <c r="H44" s="87">
        <v>6.3</v>
      </c>
      <c r="I44" s="79"/>
      <c r="K44" s="83"/>
      <c r="L44" s="83">
        <v>3.58</v>
      </c>
      <c r="M44" s="83"/>
      <c r="N44" s="77"/>
      <c r="O44" s="77"/>
      <c r="P44" s="77"/>
      <c r="Q44" s="77"/>
      <c r="S44" s="29" t="s">
        <v>67</v>
      </c>
      <c r="T44" s="29">
        <v>5.9249999999999998</v>
      </c>
      <c r="U44"/>
      <c r="V44" s="29" t="s">
        <v>109</v>
      </c>
      <c r="W44" s="29">
        <v>5.9249999999999998</v>
      </c>
      <c r="X44"/>
      <c r="Y44"/>
      <c r="Z44"/>
      <c r="AA44"/>
    </row>
    <row r="45" spans="2:27" ht="19.5" customHeight="1" x14ac:dyDescent="0.3">
      <c r="G45" s="77"/>
      <c r="H45" s="87">
        <v>6.3</v>
      </c>
      <c r="I45" s="79"/>
      <c r="K45" s="83"/>
      <c r="L45" s="83">
        <v>6.3</v>
      </c>
      <c r="M45" s="83"/>
      <c r="N45" s="77"/>
      <c r="O45" s="77"/>
      <c r="P45" s="77"/>
      <c r="Q45" s="77"/>
      <c r="S45" s="29" t="s">
        <v>68</v>
      </c>
      <c r="T45" s="29">
        <v>5.9249999999999998</v>
      </c>
      <c r="U45"/>
      <c r="V45" s="29" t="s">
        <v>110</v>
      </c>
      <c r="W45" s="29">
        <v>5.9249999999999998</v>
      </c>
      <c r="X45"/>
      <c r="Y45"/>
      <c r="Z45"/>
      <c r="AA45"/>
    </row>
    <row r="46" spans="2:27" ht="19.5" customHeight="1" x14ac:dyDescent="0.3">
      <c r="G46" s="77"/>
      <c r="H46" s="87">
        <v>5.8179999999999996</v>
      </c>
      <c r="I46" s="79"/>
      <c r="K46" s="83"/>
      <c r="L46" s="83">
        <v>6.3</v>
      </c>
      <c r="M46" s="83"/>
      <c r="N46" s="77"/>
      <c r="O46" s="77"/>
      <c r="P46" s="77"/>
      <c r="Q46" s="77"/>
      <c r="S46" s="29" t="s">
        <v>69</v>
      </c>
      <c r="T46" s="29">
        <v>5.9249999999999998</v>
      </c>
      <c r="U46"/>
      <c r="V46" s="29" t="s">
        <v>111</v>
      </c>
      <c r="W46" s="29">
        <v>5.0750000000000002</v>
      </c>
      <c r="X46"/>
      <c r="Y46"/>
      <c r="Z46"/>
      <c r="AA46"/>
    </row>
    <row r="47" spans="2:27" ht="19.5" customHeight="1" x14ac:dyDescent="0.3">
      <c r="G47" s="77"/>
      <c r="H47" s="79"/>
      <c r="I47" s="79">
        <f>SUM(H39:H46)</f>
        <v>41.268000000000001</v>
      </c>
      <c r="K47" s="83"/>
      <c r="L47" s="83">
        <v>0.9</v>
      </c>
      <c r="M47" s="83"/>
      <c r="N47" s="77"/>
      <c r="O47" s="77"/>
      <c r="P47" s="77"/>
      <c r="Q47" s="77"/>
      <c r="S47" s="29" t="s">
        <v>70</v>
      </c>
      <c r="T47" s="29">
        <v>5.9249999999999998</v>
      </c>
      <c r="U47"/>
      <c r="V47" s="29" t="s">
        <v>112</v>
      </c>
      <c r="W47" s="29">
        <v>5.0750000000000002</v>
      </c>
      <c r="X47"/>
      <c r="Y47"/>
      <c r="Z47"/>
      <c r="AA47"/>
    </row>
    <row r="48" spans="2:27" ht="19.5" customHeight="1" x14ac:dyDescent="0.3">
      <c r="K48" s="83"/>
      <c r="L48" s="89">
        <f>SUM(L43:L47)</f>
        <v>19.759999999999998</v>
      </c>
      <c r="M48" s="89" t="s">
        <v>12</v>
      </c>
      <c r="N48" s="77"/>
      <c r="O48" s="77"/>
      <c r="P48" s="77"/>
      <c r="Q48" s="77"/>
      <c r="S48" s="29" t="s">
        <v>71</v>
      </c>
      <c r="T48" s="29">
        <v>5.9249999999999998</v>
      </c>
      <c r="U48"/>
      <c r="V48" s="29" t="s">
        <v>113</v>
      </c>
      <c r="W48" s="29">
        <v>5.0750000000000002</v>
      </c>
      <c r="X48"/>
      <c r="Y48"/>
      <c r="Z48"/>
      <c r="AA48"/>
    </row>
    <row r="49" spans="11:27" ht="19.5" customHeight="1" x14ac:dyDescent="0.3">
      <c r="K49" s="83"/>
      <c r="L49" s="83"/>
      <c r="M49" s="83"/>
      <c r="N49" s="77"/>
      <c r="O49" s="77"/>
      <c r="P49" s="77"/>
      <c r="Q49" s="77"/>
      <c r="S49"/>
      <c r="T49" s="20">
        <f>SUM(T7:T48)</f>
        <v>248.85000000000019</v>
      </c>
      <c r="U49"/>
      <c r="V49"/>
      <c r="W49" s="20">
        <f>SUM(W7:W48)</f>
        <v>235.89999999999984</v>
      </c>
      <c r="X49"/>
      <c r="Y49"/>
      <c r="Z49"/>
      <c r="AA49"/>
    </row>
    <row r="50" spans="11:27" ht="19.5" customHeight="1" x14ac:dyDescent="0.3">
      <c r="K50" s="83"/>
      <c r="L50" s="83"/>
      <c r="M50" s="83"/>
      <c r="N50" s="77"/>
      <c r="O50" s="77"/>
      <c r="P50" s="77"/>
      <c r="Q50" s="77"/>
      <c r="S50"/>
      <c r="T50"/>
      <c r="U50"/>
      <c r="V50"/>
      <c r="W50"/>
      <c r="X50"/>
      <c r="Y50"/>
      <c r="Z50"/>
      <c r="AA50"/>
    </row>
    <row r="51" spans="11:27" ht="19.5" customHeight="1" thickBot="1" x14ac:dyDescent="0.35">
      <c r="K51" s="83"/>
      <c r="L51" s="83"/>
      <c r="M51" s="83"/>
      <c r="N51" s="77"/>
      <c r="O51" s="77"/>
      <c r="P51" s="77"/>
      <c r="Q51" s="77"/>
      <c r="S51"/>
      <c r="T51"/>
      <c r="U51"/>
      <c r="V51"/>
      <c r="W51"/>
      <c r="X51"/>
      <c r="Y51"/>
      <c r="Z51"/>
      <c r="AA51"/>
    </row>
    <row r="52" spans="11:27" ht="19.5" customHeight="1" thickBot="1" x14ac:dyDescent="0.35">
      <c r="K52" s="141" t="s">
        <v>339</v>
      </c>
      <c r="L52" s="142"/>
      <c r="M52" s="142"/>
      <c r="N52" s="142"/>
      <c r="O52" s="142"/>
      <c r="P52" s="143"/>
    </row>
    <row r="53" spans="11:27" ht="19.5" customHeight="1" thickBot="1" x14ac:dyDescent="0.35">
      <c r="K53" s="133" t="s">
        <v>244</v>
      </c>
      <c r="L53" s="132"/>
      <c r="M53" s="132"/>
      <c r="N53" s="132"/>
      <c r="O53" s="132"/>
      <c r="P53" s="134"/>
    </row>
    <row r="54" spans="11:27" ht="19.5" customHeight="1" x14ac:dyDescent="0.3">
      <c r="K54" s="105"/>
      <c r="L54" s="100"/>
      <c r="M54" s="101"/>
      <c r="N54" s="5"/>
      <c r="O54" s="5"/>
      <c r="P54" s="101"/>
    </row>
    <row r="55" spans="11:27" ht="19.5" customHeight="1" x14ac:dyDescent="0.3">
      <c r="K55" s="106" t="s">
        <v>245</v>
      </c>
      <c r="L55" s="99" t="s">
        <v>246</v>
      </c>
      <c r="M55" s="102" t="s">
        <v>247</v>
      </c>
      <c r="N55" s="5"/>
      <c r="O55" s="5"/>
      <c r="P55" s="102">
        <v>16</v>
      </c>
    </row>
    <row r="56" spans="11:27" ht="19.5" customHeight="1" thickBot="1" x14ac:dyDescent="0.35">
      <c r="K56" s="107"/>
      <c r="L56" s="103"/>
      <c r="M56" s="104" t="s">
        <v>248</v>
      </c>
      <c r="N56" s="5"/>
      <c r="O56" s="5"/>
      <c r="P56" s="104" t="s">
        <v>248</v>
      </c>
    </row>
    <row r="57" spans="11:27" ht="19.5" customHeight="1" thickBot="1" x14ac:dyDescent="0.35">
      <c r="K57" s="108">
        <v>16</v>
      </c>
      <c r="L57" s="109">
        <f>96*3</f>
        <v>288</v>
      </c>
      <c r="M57" s="110">
        <v>1400</v>
      </c>
      <c r="N57" s="111"/>
      <c r="O57" s="111"/>
      <c r="P57" s="144">
        <f>IF(K57=16,L57*M57*1.579/1000,0)</f>
        <v>636.65279999999996</v>
      </c>
    </row>
    <row r="58" spans="11:27" ht="19.5" customHeight="1" x14ac:dyDescent="0.3">
      <c r="M58" s="83"/>
      <c r="N58" s="77"/>
      <c r="O58" s="77"/>
      <c r="P58" s="77"/>
    </row>
    <row r="59" spans="11:27" ht="19.5" customHeight="1" x14ac:dyDescent="0.3">
      <c r="M59" s="83"/>
      <c r="N59" s="77"/>
      <c r="O59" s="77"/>
      <c r="P59" s="77"/>
    </row>
    <row r="60" spans="11:27" ht="19.5" customHeight="1" x14ac:dyDescent="0.3">
      <c r="M60" s="83"/>
      <c r="N60" s="77"/>
      <c r="O60" s="77"/>
      <c r="P60" s="77"/>
    </row>
    <row r="61" spans="11:27" ht="19.5" customHeight="1" x14ac:dyDescent="0.3">
      <c r="M61" s="83"/>
      <c r="N61" s="77"/>
      <c r="O61" s="77"/>
      <c r="P61" s="77"/>
    </row>
    <row r="62" spans="11:27" ht="19.5" customHeight="1" x14ac:dyDescent="0.3">
      <c r="N62" s="77"/>
      <c r="O62" s="77"/>
      <c r="P62" s="77"/>
    </row>
  </sheetData>
  <mergeCells count="3">
    <mergeCell ref="B5:D5"/>
    <mergeCell ref="G5:H5"/>
    <mergeCell ref="G6:H6"/>
  </mergeCells>
  <pageMargins left="0.7" right="0.7" top="0.75" bottom="0.75" header="0.3" footer="0.3"/>
  <pageSetup scale="38" orientation="portrait" r:id="rId1"/>
  <colBreaks count="3" manualBreakCount="3">
    <brk id="10" max="1048575" man="1"/>
    <brk id="17" max="1048575" man="1"/>
    <brk id="27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view="pageBreakPreview" zoomScale="85" zoomScaleNormal="70" zoomScaleSheetLayoutView="85" workbookViewId="0">
      <selection activeCell="H13" sqref="H13"/>
    </sheetView>
  </sheetViews>
  <sheetFormatPr defaultRowHeight="14.4" x14ac:dyDescent="0.3"/>
  <cols>
    <col min="1" max="1" width="2.88671875" customWidth="1"/>
    <col min="2" max="2" width="4.44140625" customWidth="1"/>
    <col min="3" max="3" width="60.88671875" customWidth="1"/>
    <col min="4" max="4" width="4.44140625" customWidth="1"/>
    <col min="5" max="5" width="12.6640625" customWidth="1"/>
    <col min="7" max="7" width="10.109375" customWidth="1"/>
    <col min="8" max="8" width="20.5546875" customWidth="1"/>
    <col min="9" max="9" width="9.109375" customWidth="1"/>
  </cols>
  <sheetData>
    <row r="1" spans="2:8" ht="18.600000000000001" x14ac:dyDescent="0.45">
      <c r="B1" s="35" t="s">
        <v>133</v>
      </c>
      <c r="C1" s="20"/>
    </row>
    <row r="2" spans="2:8" ht="18.600000000000001" x14ac:dyDescent="0.45">
      <c r="B2" s="35" t="s">
        <v>304</v>
      </c>
      <c r="C2" s="20"/>
    </row>
    <row r="3" spans="2:8" ht="18.600000000000001" x14ac:dyDescent="0.45">
      <c r="B3" s="35"/>
    </row>
    <row r="5" spans="2:8" x14ac:dyDescent="0.3">
      <c r="B5" s="14" t="s">
        <v>134</v>
      </c>
    </row>
    <row r="6" spans="2:8" ht="15" thickBot="1" x14ac:dyDescent="0.35"/>
    <row r="7" spans="2:8" ht="16.2" customHeight="1" thickBot="1" x14ac:dyDescent="0.35">
      <c r="C7" s="66" t="s">
        <v>374</v>
      </c>
      <c r="E7" s="66">
        <v>124</v>
      </c>
      <c r="G7" s="166" t="s">
        <v>130</v>
      </c>
      <c r="H7" s="67" t="s">
        <v>135</v>
      </c>
    </row>
    <row r="8" spans="2:8" ht="15.75" customHeight="1" x14ac:dyDescent="0.3">
      <c r="C8" s="68" t="s">
        <v>375</v>
      </c>
      <c r="E8" s="68">
        <v>125.6</v>
      </c>
      <c r="G8" s="167"/>
      <c r="H8" s="69">
        <f>E13/E7</f>
        <v>1.0887096774193548</v>
      </c>
    </row>
    <row r="9" spans="2:8" ht="15" thickBot="1" x14ac:dyDescent="0.35">
      <c r="C9" s="70" t="s">
        <v>376</v>
      </c>
      <c r="E9" s="70">
        <f>E8-E7</f>
        <v>1.5999999999999943</v>
      </c>
      <c r="G9" s="168"/>
    </row>
    <row r="10" spans="2:8" x14ac:dyDescent="0.3">
      <c r="C10" s="66" t="s">
        <v>371</v>
      </c>
      <c r="E10" s="66">
        <v>344</v>
      </c>
      <c r="G10" s="179"/>
    </row>
    <row r="11" spans="2:8" x14ac:dyDescent="0.3">
      <c r="C11" s="68" t="s">
        <v>373</v>
      </c>
      <c r="E11" s="68">
        <v>355</v>
      </c>
      <c r="G11" s="179"/>
    </row>
    <row r="12" spans="2:8" ht="15" thickBot="1" x14ac:dyDescent="0.35">
      <c r="C12" s="70" t="s">
        <v>372</v>
      </c>
      <c r="E12" s="70">
        <f>E11-E10</f>
        <v>11</v>
      </c>
      <c r="G12" s="179"/>
    </row>
    <row r="13" spans="2:8" ht="15" thickBot="1" x14ac:dyDescent="0.35">
      <c r="C13" s="181" t="s">
        <v>377</v>
      </c>
      <c r="E13" s="180">
        <f>E7+E12</f>
        <v>135</v>
      </c>
      <c r="G13" s="179"/>
    </row>
    <row r="14" spans="2:8" x14ac:dyDescent="0.3">
      <c r="C14" s="5"/>
      <c r="E14" s="5"/>
      <c r="G14" s="179"/>
    </row>
    <row r="15" spans="2:8" ht="15" thickBot="1" x14ac:dyDescent="0.35"/>
    <row r="16" spans="2:8" ht="29.4" customHeight="1" thickBot="1" x14ac:dyDescent="0.35">
      <c r="C16" s="66" t="s">
        <v>136</v>
      </c>
      <c r="E16" s="66">
        <v>1</v>
      </c>
      <c r="G16" s="166" t="s">
        <v>131</v>
      </c>
      <c r="H16" s="117" t="s">
        <v>137</v>
      </c>
    </row>
    <row r="17" spans="3:8" ht="15" thickBot="1" x14ac:dyDescent="0.35">
      <c r="C17" s="70" t="s">
        <v>303</v>
      </c>
      <c r="E17" s="70">
        <v>0.86</v>
      </c>
      <c r="G17" s="168"/>
      <c r="H17" s="69">
        <f>E17/E16</f>
        <v>0.86</v>
      </c>
    </row>
    <row r="21" spans="3:8" ht="15" thickBot="1" x14ac:dyDescent="0.35"/>
    <row r="22" spans="3:8" ht="15" thickBot="1" x14ac:dyDescent="0.35">
      <c r="C22" s="198" t="s">
        <v>380</v>
      </c>
      <c r="D22" s="199"/>
      <c r="E22" s="200" t="s">
        <v>381</v>
      </c>
    </row>
    <row r="23" spans="3:8" x14ac:dyDescent="0.3">
      <c r="C23" s="196" t="s">
        <v>138</v>
      </c>
      <c r="D23" s="190"/>
      <c r="E23" s="197" t="s">
        <v>139</v>
      </c>
    </row>
    <row r="24" spans="3:8" x14ac:dyDescent="0.3">
      <c r="C24" s="192" t="s">
        <v>140</v>
      </c>
      <c r="D24" s="29"/>
      <c r="E24" s="191" t="s">
        <v>141</v>
      </c>
    </row>
    <row r="25" spans="3:8" ht="15" thickBot="1" x14ac:dyDescent="0.35">
      <c r="C25" s="193" t="s">
        <v>379</v>
      </c>
      <c r="D25" s="194"/>
      <c r="E25" s="195"/>
    </row>
  </sheetData>
  <mergeCells count="2">
    <mergeCell ref="G7:G9"/>
    <mergeCell ref="G16:G17"/>
  </mergeCells>
  <pageMargins left="0.7" right="0.7" top="0.75" bottom="0.75" header="0.3" footer="0.3"/>
  <pageSetup paperSize="9" scale="62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workbookViewId="0">
      <selection activeCell="F95" sqref="F95"/>
    </sheetView>
  </sheetViews>
  <sheetFormatPr defaultRowHeight="14.4" x14ac:dyDescent="0.3"/>
  <sheetData>
    <row r="1" spans="1:7" ht="15.6" customHeight="1" x14ac:dyDescent="0.3">
      <c r="A1" s="201" t="s">
        <v>382</v>
      </c>
      <c r="B1" s="213" t="s">
        <v>383</v>
      </c>
      <c r="C1" s="214"/>
      <c r="D1" s="214"/>
      <c r="E1" s="214"/>
      <c r="F1" s="214"/>
      <c r="G1" s="202"/>
    </row>
    <row r="2" spans="1:7" x14ac:dyDescent="0.3">
      <c r="A2" s="203" t="s">
        <v>384</v>
      </c>
      <c r="B2" s="203">
        <v>101</v>
      </c>
      <c r="C2" s="202"/>
      <c r="D2" s="203" t="s">
        <v>385</v>
      </c>
      <c r="E2" s="202"/>
      <c r="F2" s="202"/>
      <c r="G2" s="202"/>
    </row>
    <row r="3" spans="1:7" x14ac:dyDescent="0.3">
      <c r="A3" s="203" t="s">
        <v>386</v>
      </c>
      <c r="B3" s="215" t="s">
        <v>387</v>
      </c>
      <c r="C3" s="215"/>
      <c r="D3" s="215"/>
      <c r="E3" s="202"/>
      <c r="F3" s="202"/>
      <c r="G3" s="202"/>
    </row>
    <row r="4" spans="1:7" x14ac:dyDescent="0.3">
      <c r="A4" s="203" t="s">
        <v>388</v>
      </c>
      <c r="B4" s="216">
        <v>44552</v>
      </c>
      <c r="C4" s="216"/>
      <c r="D4" s="202"/>
      <c r="E4" s="202"/>
      <c r="F4" s="202"/>
      <c r="G4" s="202"/>
    </row>
    <row r="5" spans="1:7" x14ac:dyDescent="0.3">
      <c r="A5" s="203" t="s">
        <v>389</v>
      </c>
      <c r="B5" s="217">
        <v>44600.042361111111</v>
      </c>
      <c r="C5" s="217"/>
      <c r="D5" s="217"/>
      <c r="E5" s="217"/>
      <c r="F5" s="217"/>
      <c r="G5" s="202"/>
    </row>
    <row r="6" spans="1:7" x14ac:dyDescent="0.3">
      <c r="A6" s="204" t="s">
        <v>390</v>
      </c>
      <c r="B6" s="204" t="s">
        <v>391</v>
      </c>
      <c r="C6" s="205" t="s">
        <v>392</v>
      </c>
      <c r="D6" s="205" t="s">
        <v>393</v>
      </c>
      <c r="E6" s="218" t="s">
        <v>394</v>
      </c>
      <c r="F6" s="218"/>
      <c r="G6" s="202"/>
    </row>
    <row r="7" spans="1:7" x14ac:dyDescent="0.3">
      <c r="A7" s="204"/>
      <c r="B7" s="204"/>
      <c r="C7" s="205"/>
      <c r="D7" s="205"/>
      <c r="E7" s="204" t="s">
        <v>395</v>
      </c>
      <c r="F7" s="204" t="s">
        <v>396</v>
      </c>
      <c r="G7" s="202"/>
    </row>
    <row r="8" spans="1:7" hidden="1" x14ac:dyDescent="0.3">
      <c r="A8" s="206">
        <v>36557</v>
      </c>
      <c r="B8" s="207">
        <v>158</v>
      </c>
      <c r="C8" s="202"/>
      <c r="D8" s="208">
        <v>66</v>
      </c>
      <c r="E8" s="208">
        <v>7.5</v>
      </c>
      <c r="F8" s="208">
        <v>2.6</v>
      </c>
      <c r="G8" s="202"/>
    </row>
    <row r="9" spans="1:7" hidden="1" x14ac:dyDescent="0.3">
      <c r="A9" s="206">
        <v>36647</v>
      </c>
      <c r="B9" s="207">
        <v>158</v>
      </c>
      <c r="C9" s="202"/>
      <c r="D9" s="208">
        <v>56</v>
      </c>
      <c r="E9" s="208">
        <v>6</v>
      </c>
      <c r="F9" s="208">
        <v>0</v>
      </c>
      <c r="G9" s="202"/>
    </row>
    <row r="10" spans="1:7" hidden="1" x14ac:dyDescent="0.3">
      <c r="A10" s="206">
        <v>36739</v>
      </c>
      <c r="B10" s="207">
        <v>162</v>
      </c>
      <c r="C10" s="202"/>
      <c r="D10" s="208">
        <v>68</v>
      </c>
      <c r="E10" s="208">
        <v>6.6</v>
      </c>
      <c r="F10" s="208">
        <v>2.5</v>
      </c>
      <c r="G10" s="202"/>
    </row>
    <row r="11" spans="1:7" hidden="1" x14ac:dyDescent="0.3">
      <c r="A11" s="206">
        <v>36831</v>
      </c>
      <c r="B11" s="207">
        <v>167</v>
      </c>
      <c r="C11" s="202"/>
      <c r="D11" s="208">
        <v>59</v>
      </c>
      <c r="E11" s="208">
        <v>8.4</v>
      </c>
      <c r="F11" s="208">
        <v>3.1</v>
      </c>
      <c r="G11" s="202"/>
    </row>
    <row r="12" spans="1:7" hidden="1" x14ac:dyDescent="0.3">
      <c r="A12" s="206">
        <v>36923</v>
      </c>
      <c r="B12" s="207">
        <v>170</v>
      </c>
      <c r="C12" s="202"/>
      <c r="D12" s="208">
        <v>82</v>
      </c>
      <c r="E12" s="208">
        <v>7.6</v>
      </c>
      <c r="F12" s="208">
        <v>1.8</v>
      </c>
      <c r="G12" s="202"/>
    </row>
    <row r="13" spans="1:7" hidden="1" x14ac:dyDescent="0.3">
      <c r="A13" s="206">
        <v>37012</v>
      </c>
      <c r="B13" s="207">
        <v>171</v>
      </c>
      <c r="C13" s="202"/>
      <c r="D13" s="208">
        <v>64</v>
      </c>
      <c r="E13" s="208">
        <v>8.1999999999999993</v>
      </c>
      <c r="F13" s="208">
        <v>0.6</v>
      </c>
      <c r="G13" s="202"/>
    </row>
    <row r="14" spans="1:7" hidden="1" x14ac:dyDescent="0.3">
      <c r="A14" s="206">
        <v>37104</v>
      </c>
      <c r="B14" s="207">
        <v>177</v>
      </c>
      <c r="C14" s="202"/>
      <c r="D14" s="208">
        <v>60</v>
      </c>
      <c r="E14" s="208">
        <v>9.3000000000000007</v>
      </c>
      <c r="F14" s="208">
        <v>3.5</v>
      </c>
      <c r="G14" s="202"/>
    </row>
    <row r="15" spans="1:7" hidden="1" x14ac:dyDescent="0.3">
      <c r="A15" s="206">
        <v>37196</v>
      </c>
      <c r="B15" s="207">
        <v>177</v>
      </c>
      <c r="C15" s="202"/>
      <c r="D15" s="208">
        <v>73</v>
      </c>
      <c r="E15" s="208">
        <v>6</v>
      </c>
      <c r="F15" s="208">
        <v>0</v>
      </c>
      <c r="G15" s="202"/>
    </row>
    <row r="16" spans="1:7" hidden="1" x14ac:dyDescent="0.3">
      <c r="A16" s="206">
        <v>37288</v>
      </c>
      <c r="B16" s="207">
        <v>182</v>
      </c>
      <c r="C16" s="202"/>
      <c r="D16" s="208">
        <v>56</v>
      </c>
      <c r="E16" s="208">
        <v>7.1</v>
      </c>
      <c r="F16" s="208">
        <v>2.8</v>
      </c>
      <c r="G16" s="202"/>
    </row>
    <row r="17" spans="1:7" hidden="1" x14ac:dyDescent="0.3">
      <c r="A17" s="206">
        <v>37377</v>
      </c>
      <c r="B17" s="207">
        <v>189</v>
      </c>
      <c r="C17" s="202"/>
      <c r="D17" s="208">
        <v>59</v>
      </c>
      <c r="E17" s="208">
        <v>10.5</v>
      </c>
      <c r="F17" s="208">
        <v>3.8</v>
      </c>
      <c r="G17" s="202"/>
    </row>
    <row r="18" spans="1:7" hidden="1" x14ac:dyDescent="0.3">
      <c r="A18" s="206">
        <v>37469</v>
      </c>
      <c r="B18" s="207">
        <v>188</v>
      </c>
      <c r="C18" s="202"/>
      <c r="D18" s="208">
        <v>51</v>
      </c>
      <c r="E18" s="208">
        <v>6.2</v>
      </c>
      <c r="F18" s="208">
        <v>-0.5</v>
      </c>
      <c r="G18" s="202"/>
    </row>
    <row r="19" spans="1:7" hidden="1" x14ac:dyDescent="0.3">
      <c r="A19" s="206">
        <v>37561</v>
      </c>
      <c r="B19" s="207">
        <v>190</v>
      </c>
      <c r="C19" s="202"/>
      <c r="D19" s="208">
        <v>63</v>
      </c>
      <c r="E19" s="208">
        <v>7.3</v>
      </c>
      <c r="F19" s="208">
        <v>1.1000000000000001</v>
      </c>
      <c r="G19" s="202"/>
    </row>
    <row r="20" spans="1:7" hidden="1" x14ac:dyDescent="0.3">
      <c r="A20" s="206">
        <v>37653</v>
      </c>
      <c r="B20" s="207">
        <v>196</v>
      </c>
      <c r="C20" s="202"/>
      <c r="D20" s="208">
        <v>64</v>
      </c>
      <c r="E20" s="208">
        <v>7.7</v>
      </c>
      <c r="F20" s="208">
        <v>3.2</v>
      </c>
      <c r="G20" s="202"/>
    </row>
    <row r="21" spans="1:7" hidden="1" x14ac:dyDescent="0.3">
      <c r="A21" s="206">
        <v>37742</v>
      </c>
      <c r="B21" s="207">
        <v>198</v>
      </c>
      <c r="C21" s="202"/>
      <c r="D21" s="208">
        <v>75</v>
      </c>
      <c r="E21" s="208">
        <v>4.8</v>
      </c>
      <c r="F21" s="208">
        <v>1</v>
      </c>
      <c r="G21" s="202"/>
    </row>
    <row r="22" spans="1:7" hidden="1" x14ac:dyDescent="0.3">
      <c r="A22" s="206">
        <v>37834</v>
      </c>
      <c r="B22" s="207">
        <v>198</v>
      </c>
      <c r="C22" s="202"/>
      <c r="D22" s="208">
        <v>65</v>
      </c>
      <c r="E22" s="208">
        <v>5.3</v>
      </c>
      <c r="F22" s="208">
        <v>0</v>
      </c>
      <c r="G22" s="202"/>
    </row>
    <row r="23" spans="1:7" hidden="1" x14ac:dyDescent="0.3">
      <c r="A23" s="206">
        <v>37926</v>
      </c>
      <c r="B23" s="207">
        <v>195</v>
      </c>
      <c r="C23" s="202"/>
      <c r="D23" s="208">
        <v>66</v>
      </c>
      <c r="E23" s="208">
        <v>2.6</v>
      </c>
      <c r="F23" s="208">
        <v>-1.5</v>
      </c>
      <c r="G23" s="202"/>
    </row>
    <row r="24" spans="1:7" hidden="1" x14ac:dyDescent="0.3">
      <c r="A24" s="206">
        <v>38018</v>
      </c>
      <c r="B24" s="207">
        <v>200</v>
      </c>
      <c r="C24" s="202"/>
      <c r="D24" s="208">
        <v>73</v>
      </c>
      <c r="E24" s="208">
        <v>2</v>
      </c>
      <c r="F24" s="208">
        <v>2.6</v>
      </c>
      <c r="G24" s="202"/>
    </row>
    <row r="25" spans="1:7" hidden="1" x14ac:dyDescent="0.3">
      <c r="A25" s="206">
        <v>38108</v>
      </c>
      <c r="B25" s="207">
        <v>215</v>
      </c>
      <c r="C25" s="202"/>
      <c r="D25" s="208">
        <v>68</v>
      </c>
      <c r="E25" s="208">
        <v>8.6</v>
      </c>
      <c r="F25" s="208">
        <v>7.5</v>
      </c>
      <c r="G25" s="202"/>
    </row>
    <row r="26" spans="1:7" hidden="1" x14ac:dyDescent="0.3">
      <c r="A26" s="206">
        <v>38200</v>
      </c>
      <c r="B26" s="207">
        <v>213</v>
      </c>
      <c r="C26" s="202"/>
      <c r="D26" s="208">
        <v>65</v>
      </c>
      <c r="E26" s="208">
        <v>7.6</v>
      </c>
      <c r="F26" s="208">
        <v>-0.9</v>
      </c>
      <c r="G26" s="202"/>
    </row>
    <row r="27" spans="1:7" hidden="1" x14ac:dyDescent="0.3">
      <c r="A27" s="206">
        <v>38292</v>
      </c>
      <c r="B27" s="207">
        <v>225</v>
      </c>
      <c r="C27" s="202"/>
      <c r="D27" s="208">
        <v>80</v>
      </c>
      <c r="E27" s="208">
        <v>15.4</v>
      </c>
      <c r="F27" s="208">
        <v>5.6</v>
      </c>
      <c r="G27" s="202"/>
    </row>
    <row r="28" spans="1:7" hidden="1" x14ac:dyDescent="0.3">
      <c r="A28" s="206">
        <v>38384</v>
      </c>
      <c r="B28" s="207">
        <v>221</v>
      </c>
      <c r="C28" s="202"/>
      <c r="D28" s="208">
        <v>67</v>
      </c>
      <c r="E28" s="208">
        <v>10.5</v>
      </c>
      <c r="F28" s="208">
        <v>-1.8</v>
      </c>
      <c r="G28" s="202"/>
    </row>
    <row r="29" spans="1:7" hidden="1" x14ac:dyDescent="0.3">
      <c r="A29" s="206">
        <v>38473</v>
      </c>
      <c r="B29" s="207">
        <v>228</v>
      </c>
      <c r="C29" s="202"/>
      <c r="D29" s="208">
        <v>66</v>
      </c>
      <c r="E29" s="208">
        <v>6</v>
      </c>
      <c r="F29" s="208">
        <v>3.2</v>
      </c>
      <c r="G29" s="202"/>
    </row>
    <row r="30" spans="1:7" hidden="1" x14ac:dyDescent="0.3">
      <c r="A30" s="206">
        <v>38565</v>
      </c>
      <c r="B30" s="207">
        <v>221</v>
      </c>
      <c r="C30" s="202"/>
      <c r="D30" s="208">
        <v>65</v>
      </c>
      <c r="E30" s="208">
        <v>3.8</v>
      </c>
      <c r="F30" s="208">
        <v>-3.1</v>
      </c>
      <c r="G30" s="202"/>
    </row>
    <row r="31" spans="1:7" hidden="1" x14ac:dyDescent="0.3">
      <c r="A31" s="206">
        <v>38657</v>
      </c>
      <c r="B31" s="207">
        <v>226</v>
      </c>
      <c r="C31" s="202"/>
      <c r="D31" s="208">
        <v>63</v>
      </c>
      <c r="E31" s="208">
        <v>0.4</v>
      </c>
      <c r="F31" s="208">
        <v>2.2999999999999998</v>
      </c>
      <c r="G31" s="202"/>
    </row>
    <row r="32" spans="1:7" hidden="1" x14ac:dyDescent="0.3">
      <c r="A32" s="206">
        <v>38749</v>
      </c>
      <c r="B32" s="207">
        <v>228</v>
      </c>
      <c r="C32" s="202"/>
      <c r="D32" s="208">
        <v>76</v>
      </c>
      <c r="E32" s="208">
        <v>3.2</v>
      </c>
      <c r="F32" s="208">
        <v>0.9</v>
      </c>
      <c r="G32" s="202"/>
    </row>
    <row r="33" spans="1:7" hidden="1" x14ac:dyDescent="0.3">
      <c r="A33" s="206">
        <v>38838</v>
      </c>
      <c r="B33" s="207">
        <v>231</v>
      </c>
      <c r="C33" s="202"/>
      <c r="D33" s="208">
        <v>85</v>
      </c>
      <c r="E33" s="208">
        <v>1.3</v>
      </c>
      <c r="F33" s="208">
        <v>1.3</v>
      </c>
      <c r="G33" s="202"/>
    </row>
    <row r="34" spans="1:7" hidden="1" x14ac:dyDescent="0.3">
      <c r="A34" s="206">
        <v>38930</v>
      </c>
      <c r="B34" s="207">
        <v>228</v>
      </c>
      <c r="C34" s="202"/>
      <c r="D34" s="208">
        <v>75</v>
      </c>
      <c r="E34" s="208">
        <v>3.2</v>
      </c>
      <c r="F34" s="208">
        <v>-1.3</v>
      </c>
      <c r="G34" s="202"/>
    </row>
    <row r="35" spans="1:7" hidden="1" x14ac:dyDescent="0.3">
      <c r="A35" s="206">
        <v>39022</v>
      </c>
      <c r="B35" s="207">
        <v>232</v>
      </c>
      <c r="C35" s="202"/>
      <c r="D35" s="208">
        <v>61</v>
      </c>
      <c r="E35" s="208">
        <v>2.7</v>
      </c>
      <c r="F35" s="208">
        <v>1.8</v>
      </c>
      <c r="G35" s="202"/>
    </row>
    <row r="36" spans="1:7" hidden="1" x14ac:dyDescent="0.3">
      <c r="A36" s="206">
        <v>39114</v>
      </c>
      <c r="B36" s="207">
        <v>239</v>
      </c>
      <c r="C36" s="202"/>
      <c r="D36" s="208">
        <v>73</v>
      </c>
      <c r="E36" s="208">
        <v>4.8</v>
      </c>
      <c r="F36" s="208">
        <v>3</v>
      </c>
      <c r="G36" s="202"/>
    </row>
    <row r="37" spans="1:7" hidden="1" x14ac:dyDescent="0.3">
      <c r="A37" s="206">
        <v>39203</v>
      </c>
      <c r="B37" s="207">
        <v>241</v>
      </c>
      <c r="C37" s="202"/>
      <c r="D37" s="208">
        <v>66</v>
      </c>
      <c r="E37" s="208">
        <v>4.3</v>
      </c>
      <c r="F37" s="208">
        <v>0.8</v>
      </c>
      <c r="G37" s="202"/>
    </row>
    <row r="38" spans="1:7" hidden="1" x14ac:dyDescent="0.3">
      <c r="A38" s="206">
        <v>39295</v>
      </c>
      <c r="B38" s="207">
        <v>248</v>
      </c>
      <c r="C38" s="202"/>
      <c r="D38" s="208">
        <v>69</v>
      </c>
      <c r="E38" s="208">
        <v>8.8000000000000007</v>
      </c>
      <c r="F38" s="208">
        <v>2.9</v>
      </c>
      <c r="G38" s="202"/>
    </row>
    <row r="39" spans="1:7" hidden="1" x14ac:dyDescent="0.3">
      <c r="A39" s="206">
        <v>39387</v>
      </c>
      <c r="B39" s="207">
        <v>251</v>
      </c>
      <c r="C39" s="202"/>
      <c r="D39" s="208">
        <v>65</v>
      </c>
      <c r="E39" s="208">
        <v>8.1999999999999993</v>
      </c>
      <c r="F39" s="208">
        <v>1.2</v>
      </c>
      <c r="G39" s="202"/>
    </row>
    <row r="40" spans="1:7" hidden="1" x14ac:dyDescent="0.3">
      <c r="A40" s="206">
        <v>39479</v>
      </c>
      <c r="B40" s="207">
        <v>249</v>
      </c>
      <c r="C40" s="202"/>
      <c r="D40" s="208">
        <v>66</v>
      </c>
      <c r="E40" s="208">
        <v>4.2</v>
      </c>
      <c r="F40" s="208">
        <v>-0.8</v>
      </c>
      <c r="G40" s="202"/>
    </row>
    <row r="41" spans="1:7" hidden="1" x14ac:dyDescent="0.3">
      <c r="A41" s="206">
        <v>39569</v>
      </c>
      <c r="B41" s="207">
        <v>247</v>
      </c>
      <c r="C41" s="202"/>
      <c r="D41" s="208">
        <v>68</v>
      </c>
      <c r="E41" s="208">
        <v>2.5</v>
      </c>
      <c r="F41" s="208">
        <v>-0.8</v>
      </c>
      <c r="G41" s="202"/>
    </row>
    <row r="42" spans="1:7" hidden="1" x14ac:dyDescent="0.3">
      <c r="A42" s="206">
        <v>39661</v>
      </c>
      <c r="B42" s="207">
        <v>246</v>
      </c>
      <c r="C42" s="202"/>
      <c r="D42" s="208">
        <v>54</v>
      </c>
      <c r="E42" s="208">
        <v>-0.8</v>
      </c>
      <c r="F42" s="208">
        <v>-0.4</v>
      </c>
      <c r="G42" s="202"/>
    </row>
    <row r="43" spans="1:7" hidden="1" x14ac:dyDescent="0.3">
      <c r="A43" s="206">
        <v>39753</v>
      </c>
      <c r="B43" s="207">
        <v>240</v>
      </c>
      <c r="C43" s="202"/>
      <c r="D43" s="208">
        <v>50</v>
      </c>
      <c r="E43" s="208">
        <v>-4.4000000000000004</v>
      </c>
      <c r="F43" s="208">
        <v>-2.4</v>
      </c>
      <c r="G43" s="202"/>
    </row>
    <row r="44" spans="1:7" hidden="1" x14ac:dyDescent="0.3">
      <c r="A44" s="206">
        <v>39845</v>
      </c>
      <c r="B44" s="207">
        <v>223</v>
      </c>
      <c r="C44" s="202"/>
      <c r="D44" s="208">
        <v>64</v>
      </c>
      <c r="E44" s="208">
        <v>-10.4</v>
      </c>
      <c r="F44" s="208">
        <v>-7.1</v>
      </c>
      <c r="G44" s="202"/>
    </row>
    <row r="45" spans="1:7" hidden="1" x14ac:dyDescent="0.3">
      <c r="A45" s="206">
        <v>39934</v>
      </c>
      <c r="B45" s="207">
        <v>216</v>
      </c>
      <c r="C45" s="202"/>
      <c r="D45" s="208">
        <v>53</v>
      </c>
      <c r="E45" s="208">
        <v>-12.6</v>
      </c>
      <c r="F45" s="208">
        <v>-3.1</v>
      </c>
      <c r="G45" s="202"/>
    </row>
    <row r="46" spans="1:7" hidden="1" x14ac:dyDescent="0.3">
      <c r="A46" s="206">
        <v>40026</v>
      </c>
      <c r="B46" s="207">
        <v>216</v>
      </c>
      <c r="C46" s="202"/>
      <c r="D46" s="208">
        <v>62</v>
      </c>
      <c r="E46" s="208">
        <v>-12.2</v>
      </c>
      <c r="F46" s="208">
        <v>0</v>
      </c>
      <c r="G46" s="202"/>
    </row>
    <row r="47" spans="1:7" hidden="1" x14ac:dyDescent="0.3">
      <c r="A47" s="206">
        <v>40118</v>
      </c>
      <c r="B47" s="207">
        <v>212</v>
      </c>
      <c r="C47" s="202"/>
      <c r="D47" s="208">
        <v>64</v>
      </c>
      <c r="E47" s="208">
        <v>-11.7</v>
      </c>
      <c r="F47" s="208">
        <v>-1.9</v>
      </c>
      <c r="G47" s="202"/>
    </row>
    <row r="48" spans="1:7" hidden="1" x14ac:dyDescent="0.3">
      <c r="A48" s="206">
        <v>40210</v>
      </c>
      <c r="B48" s="207">
        <v>209</v>
      </c>
      <c r="C48" s="202"/>
      <c r="D48" s="208">
        <v>63</v>
      </c>
      <c r="E48" s="208">
        <v>-6.3</v>
      </c>
      <c r="F48" s="208">
        <v>-1.4</v>
      </c>
      <c r="G48" s="202"/>
    </row>
    <row r="49" spans="1:7" hidden="1" x14ac:dyDescent="0.3">
      <c r="A49" s="206">
        <v>40299</v>
      </c>
      <c r="B49" s="207">
        <v>218</v>
      </c>
      <c r="C49" s="202"/>
      <c r="D49" s="208">
        <v>45</v>
      </c>
      <c r="E49" s="208">
        <v>0.9</v>
      </c>
      <c r="F49" s="208">
        <v>4.3</v>
      </c>
      <c r="G49" s="202"/>
    </row>
    <row r="50" spans="1:7" hidden="1" x14ac:dyDescent="0.3">
      <c r="A50" s="206">
        <v>40391</v>
      </c>
      <c r="B50" s="207">
        <v>219</v>
      </c>
      <c r="C50" s="202"/>
      <c r="D50" s="208">
        <v>42</v>
      </c>
      <c r="E50" s="208">
        <v>1.4</v>
      </c>
      <c r="F50" s="208">
        <v>0.5</v>
      </c>
      <c r="G50" s="202"/>
    </row>
    <row r="51" spans="1:7" hidden="1" x14ac:dyDescent="0.3">
      <c r="A51" s="206">
        <v>40483</v>
      </c>
      <c r="B51" s="207">
        <v>220</v>
      </c>
      <c r="C51" s="202"/>
      <c r="D51" s="208">
        <v>49</v>
      </c>
      <c r="E51" s="208">
        <v>3.8</v>
      </c>
      <c r="F51" s="208">
        <v>0.5</v>
      </c>
      <c r="G51" s="202"/>
    </row>
    <row r="52" spans="1:7" hidden="1" x14ac:dyDescent="0.3">
      <c r="A52" s="206">
        <v>40575</v>
      </c>
      <c r="B52" s="207">
        <v>219</v>
      </c>
      <c r="C52" s="202"/>
      <c r="D52" s="208">
        <v>45</v>
      </c>
      <c r="E52" s="208">
        <v>4.8</v>
      </c>
      <c r="F52" s="208">
        <v>-0.5</v>
      </c>
      <c r="G52" s="202"/>
    </row>
    <row r="53" spans="1:7" hidden="1" x14ac:dyDescent="0.3">
      <c r="A53" s="206">
        <v>40664</v>
      </c>
      <c r="B53" s="207">
        <v>223</v>
      </c>
      <c r="C53" s="202"/>
      <c r="D53" s="208">
        <v>33</v>
      </c>
      <c r="E53" s="208">
        <v>2.2999999999999998</v>
      </c>
      <c r="F53" s="208">
        <v>1.8</v>
      </c>
      <c r="G53" s="202"/>
    </row>
    <row r="54" spans="1:7" hidden="1" x14ac:dyDescent="0.3">
      <c r="A54" s="206">
        <v>40756</v>
      </c>
      <c r="B54" s="207">
        <v>220</v>
      </c>
      <c r="C54" s="202"/>
      <c r="D54" s="208">
        <v>33</v>
      </c>
      <c r="E54" s="208">
        <v>0.5</v>
      </c>
      <c r="F54" s="208">
        <v>-1.3</v>
      </c>
      <c r="G54" s="202"/>
    </row>
    <row r="55" spans="1:7" hidden="1" x14ac:dyDescent="0.3">
      <c r="A55" s="206">
        <v>40848</v>
      </c>
      <c r="B55" s="207">
        <v>223</v>
      </c>
      <c r="C55" s="202"/>
      <c r="D55" s="208">
        <v>38</v>
      </c>
      <c r="E55" s="208">
        <v>1.4</v>
      </c>
      <c r="F55" s="208">
        <v>1.4</v>
      </c>
      <c r="G55" s="202"/>
    </row>
    <row r="56" spans="1:7" hidden="1" x14ac:dyDescent="0.3">
      <c r="A56" s="206">
        <v>40940</v>
      </c>
      <c r="B56" s="207">
        <v>215</v>
      </c>
      <c r="C56" s="202"/>
      <c r="D56" s="208">
        <v>42</v>
      </c>
      <c r="E56" s="208">
        <v>-1.8</v>
      </c>
      <c r="F56" s="208">
        <v>-3.6</v>
      </c>
      <c r="G56" s="202"/>
    </row>
    <row r="57" spans="1:7" hidden="1" x14ac:dyDescent="0.3">
      <c r="A57" s="206">
        <v>41030</v>
      </c>
      <c r="B57" s="207">
        <v>230</v>
      </c>
      <c r="C57" s="202"/>
      <c r="D57" s="208">
        <v>30</v>
      </c>
      <c r="E57" s="208">
        <v>3.1</v>
      </c>
      <c r="F57" s="208">
        <v>7</v>
      </c>
      <c r="G57" s="202"/>
    </row>
    <row r="58" spans="1:7" hidden="1" x14ac:dyDescent="0.3">
      <c r="A58" s="206">
        <v>41122</v>
      </c>
      <c r="B58" s="207">
        <v>223</v>
      </c>
      <c r="C58" s="202"/>
      <c r="D58" s="208">
        <v>33</v>
      </c>
      <c r="E58" s="208">
        <v>1.4</v>
      </c>
      <c r="F58" s="208">
        <v>-3</v>
      </c>
      <c r="G58" s="202"/>
    </row>
    <row r="59" spans="1:7" hidden="1" x14ac:dyDescent="0.3">
      <c r="A59" s="206">
        <v>41214</v>
      </c>
      <c r="B59" s="207">
        <v>224</v>
      </c>
      <c r="C59" s="202"/>
      <c r="D59" s="208">
        <v>36</v>
      </c>
      <c r="E59" s="208">
        <v>0.4</v>
      </c>
      <c r="F59" s="208">
        <v>0.4</v>
      </c>
      <c r="G59" s="202"/>
    </row>
    <row r="60" spans="1:7" hidden="1" x14ac:dyDescent="0.3">
      <c r="A60" s="206">
        <v>41306</v>
      </c>
      <c r="B60" s="207">
        <v>234</v>
      </c>
      <c r="C60" s="202"/>
      <c r="D60" s="208">
        <v>36</v>
      </c>
      <c r="E60" s="208">
        <v>8.8000000000000007</v>
      </c>
      <c r="F60" s="208">
        <v>4.5</v>
      </c>
      <c r="G60" s="202"/>
    </row>
    <row r="61" spans="1:7" hidden="1" x14ac:dyDescent="0.3">
      <c r="A61" s="206">
        <v>41395</v>
      </c>
      <c r="B61" s="207">
        <v>236</v>
      </c>
      <c r="C61" s="202"/>
      <c r="D61" s="208">
        <v>31</v>
      </c>
      <c r="E61" s="208">
        <v>2.6</v>
      </c>
      <c r="F61" s="208">
        <v>0.9</v>
      </c>
      <c r="G61" s="202"/>
    </row>
    <row r="62" spans="1:7" hidden="1" x14ac:dyDescent="0.3">
      <c r="A62" s="206">
        <v>41487</v>
      </c>
      <c r="B62" s="207">
        <v>232</v>
      </c>
      <c r="C62" s="202"/>
      <c r="D62" s="208">
        <v>32</v>
      </c>
      <c r="E62" s="208">
        <v>4</v>
      </c>
      <c r="F62" s="208">
        <v>-1.7</v>
      </c>
      <c r="G62" s="202"/>
    </row>
    <row r="63" spans="1:7" hidden="1" x14ac:dyDescent="0.3">
      <c r="A63" s="206">
        <v>41579</v>
      </c>
      <c r="B63" s="207">
        <v>239</v>
      </c>
      <c r="C63" s="202"/>
      <c r="D63" s="208">
        <v>37</v>
      </c>
      <c r="E63" s="208">
        <v>6.7</v>
      </c>
      <c r="F63" s="208">
        <v>3</v>
      </c>
      <c r="G63" s="202"/>
    </row>
    <row r="64" spans="1:7" hidden="1" x14ac:dyDescent="0.3">
      <c r="A64" s="206">
        <v>41671</v>
      </c>
      <c r="B64" s="207">
        <v>247</v>
      </c>
      <c r="C64" s="202"/>
      <c r="D64" s="208">
        <v>37</v>
      </c>
      <c r="E64" s="208">
        <v>5.6</v>
      </c>
      <c r="F64" s="208">
        <v>3.3</v>
      </c>
      <c r="G64" s="202"/>
    </row>
    <row r="65" spans="1:7" hidden="1" x14ac:dyDescent="0.3">
      <c r="A65" s="206">
        <v>41760</v>
      </c>
      <c r="B65" s="207">
        <v>259</v>
      </c>
      <c r="C65" s="202"/>
      <c r="D65" s="208">
        <v>39</v>
      </c>
      <c r="E65" s="208">
        <v>9.6999999999999993</v>
      </c>
      <c r="F65" s="208">
        <v>4.9000000000000004</v>
      </c>
      <c r="G65" s="202"/>
    </row>
    <row r="66" spans="1:7" hidden="1" x14ac:dyDescent="0.3">
      <c r="A66" s="206">
        <v>41852</v>
      </c>
      <c r="B66" s="207">
        <v>257</v>
      </c>
      <c r="C66" s="202"/>
      <c r="D66" s="208">
        <v>32</v>
      </c>
      <c r="E66" s="208">
        <v>10.8</v>
      </c>
      <c r="F66" s="208">
        <v>-0.8</v>
      </c>
      <c r="G66" s="202"/>
    </row>
    <row r="67" spans="1:7" hidden="1" x14ac:dyDescent="0.3">
      <c r="A67" s="206">
        <v>41944</v>
      </c>
      <c r="B67" s="207">
        <v>259</v>
      </c>
      <c r="C67" s="202"/>
      <c r="D67" s="208">
        <v>31</v>
      </c>
      <c r="E67" s="208">
        <v>8.4</v>
      </c>
      <c r="F67" s="208">
        <v>0.8</v>
      </c>
      <c r="G67" s="202"/>
    </row>
    <row r="68" spans="1:7" hidden="1" x14ac:dyDescent="0.3">
      <c r="A68" s="206">
        <v>42036</v>
      </c>
      <c r="B68" s="207">
        <v>266</v>
      </c>
      <c r="C68" s="202"/>
      <c r="D68" s="208">
        <v>134</v>
      </c>
      <c r="E68" s="208">
        <v>7.7</v>
      </c>
      <c r="F68" s="208">
        <v>2.7</v>
      </c>
      <c r="G68" s="202"/>
    </row>
    <row r="69" spans="1:7" hidden="1" x14ac:dyDescent="0.3">
      <c r="A69" s="206">
        <v>42125</v>
      </c>
      <c r="B69" s="207">
        <v>272</v>
      </c>
      <c r="C69" s="202"/>
      <c r="D69" s="208">
        <v>125</v>
      </c>
      <c r="E69" s="208">
        <v>5</v>
      </c>
      <c r="F69" s="208">
        <v>2.2999999999999998</v>
      </c>
      <c r="G69" s="202"/>
    </row>
    <row r="70" spans="1:7" hidden="1" x14ac:dyDescent="0.3">
      <c r="A70" s="206">
        <v>42217</v>
      </c>
      <c r="B70" s="207">
        <v>271</v>
      </c>
      <c r="C70" s="202"/>
      <c r="D70" s="208">
        <v>125</v>
      </c>
      <c r="E70" s="208">
        <v>5.4</v>
      </c>
      <c r="F70" s="208">
        <v>-0.4</v>
      </c>
      <c r="G70" s="202"/>
    </row>
    <row r="71" spans="1:7" hidden="1" x14ac:dyDescent="0.3">
      <c r="A71" s="206">
        <v>42309</v>
      </c>
      <c r="B71" s="207">
        <v>270</v>
      </c>
      <c r="C71" s="202"/>
      <c r="D71" s="208">
        <v>120</v>
      </c>
      <c r="E71" s="208">
        <v>4.2</v>
      </c>
      <c r="F71" s="208">
        <v>-0.4</v>
      </c>
      <c r="G71" s="202"/>
    </row>
    <row r="72" spans="1:7" hidden="1" x14ac:dyDescent="0.3">
      <c r="A72" s="206">
        <v>42401</v>
      </c>
      <c r="B72" s="207">
        <v>275</v>
      </c>
      <c r="C72" s="202"/>
      <c r="D72" s="208">
        <v>121</v>
      </c>
      <c r="E72" s="208">
        <v>3.4</v>
      </c>
      <c r="F72" s="208">
        <v>1.9</v>
      </c>
      <c r="G72" s="202"/>
    </row>
    <row r="73" spans="1:7" hidden="1" x14ac:dyDescent="0.3">
      <c r="A73" s="206">
        <v>42491</v>
      </c>
      <c r="B73" s="207">
        <v>282</v>
      </c>
      <c r="C73" s="202"/>
      <c r="D73" s="208">
        <v>122</v>
      </c>
      <c r="E73" s="208">
        <v>3.7</v>
      </c>
      <c r="F73" s="208">
        <v>2.5</v>
      </c>
      <c r="G73" s="202"/>
    </row>
    <row r="74" spans="1:7" hidden="1" x14ac:dyDescent="0.3">
      <c r="A74" s="206">
        <v>42583</v>
      </c>
      <c r="B74" s="207">
        <v>281</v>
      </c>
      <c r="C74" s="202"/>
      <c r="D74" s="208">
        <v>125</v>
      </c>
      <c r="E74" s="208">
        <v>3.7</v>
      </c>
      <c r="F74" s="208">
        <v>-0.4</v>
      </c>
      <c r="G74" s="202"/>
    </row>
    <row r="75" spans="1:7" hidden="1" x14ac:dyDescent="0.3">
      <c r="A75" s="206">
        <v>42675</v>
      </c>
      <c r="B75" s="207">
        <v>291</v>
      </c>
      <c r="C75" s="202"/>
      <c r="D75" s="208">
        <v>123</v>
      </c>
      <c r="E75" s="208">
        <v>7.8</v>
      </c>
      <c r="F75" s="208">
        <v>3.6</v>
      </c>
      <c r="G75" s="202"/>
    </row>
    <row r="76" spans="1:7" hidden="1" x14ac:dyDescent="0.3">
      <c r="A76" s="206">
        <v>42767</v>
      </c>
      <c r="B76" s="207">
        <v>301</v>
      </c>
      <c r="C76" s="202"/>
      <c r="D76" s="208">
        <v>122</v>
      </c>
      <c r="E76" s="208">
        <v>9.5</v>
      </c>
      <c r="F76" s="208">
        <v>3.4</v>
      </c>
      <c r="G76" s="202"/>
    </row>
    <row r="77" spans="1:7" hidden="1" x14ac:dyDescent="0.3">
      <c r="A77" s="206">
        <v>42856</v>
      </c>
      <c r="B77" s="207">
        <v>307</v>
      </c>
      <c r="C77" s="202"/>
      <c r="D77" s="208">
        <v>117</v>
      </c>
      <c r="E77" s="208">
        <v>8.9</v>
      </c>
      <c r="F77" s="208">
        <v>2</v>
      </c>
      <c r="G77" s="202"/>
    </row>
    <row r="78" spans="1:7" hidden="1" x14ac:dyDescent="0.3">
      <c r="A78" s="206">
        <v>42948</v>
      </c>
      <c r="B78" s="207">
        <v>306</v>
      </c>
      <c r="C78" s="202"/>
      <c r="D78" s="208">
        <v>112</v>
      </c>
      <c r="E78" s="208">
        <v>8.9</v>
      </c>
      <c r="F78" s="208">
        <v>-0.3</v>
      </c>
      <c r="G78" s="202"/>
    </row>
    <row r="79" spans="1:7" hidden="1" x14ac:dyDescent="0.3">
      <c r="A79" s="206">
        <v>43040</v>
      </c>
      <c r="B79" s="207">
        <v>317</v>
      </c>
      <c r="C79" s="202"/>
      <c r="D79" s="208">
        <v>106</v>
      </c>
      <c r="E79" s="208">
        <v>8.9</v>
      </c>
      <c r="F79" s="208">
        <v>3.6</v>
      </c>
      <c r="G79" s="202"/>
    </row>
    <row r="80" spans="1:7" hidden="1" x14ac:dyDescent="0.3">
      <c r="A80" s="206">
        <v>43132</v>
      </c>
      <c r="B80" s="207">
        <v>326</v>
      </c>
      <c r="C80" s="202"/>
      <c r="D80" s="208">
        <v>98</v>
      </c>
      <c r="E80" s="208">
        <v>8.3000000000000007</v>
      </c>
      <c r="F80" s="208">
        <v>2.8</v>
      </c>
      <c r="G80" s="202"/>
    </row>
    <row r="81" spans="1:7" hidden="1" x14ac:dyDescent="0.3">
      <c r="A81" s="206">
        <v>43221</v>
      </c>
      <c r="B81" s="207">
        <v>326</v>
      </c>
      <c r="C81" s="202"/>
      <c r="D81" s="208">
        <v>94</v>
      </c>
      <c r="E81" s="208">
        <v>6.2</v>
      </c>
      <c r="F81" s="208">
        <v>0</v>
      </c>
      <c r="G81" s="202"/>
    </row>
    <row r="82" spans="1:7" hidden="1" x14ac:dyDescent="0.3">
      <c r="A82" s="206">
        <v>43313</v>
      </c>
      <c r="B82" s="207">
        <v>327</v>
      </c>
      <c r="C82" s="202"/>
      <c r="D82" s="208">
        <v>90</v>
      </c>
      <c r="E82" s="208">
        <v>6.9</v>
      </c>
      <c r="F82" s="208">
        <v>0.3</v>
      </c>
      <c r="G82" s="202"/>
    </row>
    <row r="83" spans="1:7" hidden="1" x14ac:dyDescent="0.3">
      <c r="A83" s="206">
        <v>43405</v>
      </c>
      <c r="B83" s="207">
        <v>330</v>
      </c>
      <c r="C83" s="202"/>
      <c r="D83" s="208">
        <v>85</v>
      </c>
      <c r="E83" s="208">
        <v>4.0999999999999996</v>
      </c>
      <c r="F83" s="208">
        <v>0.9</v>
      </c>
      <c r="G83" s="202"/>
    </row>
    <row r="84" spans="1:7" x14ac:dyDescent="0.3">
      <c r="A84" s="206">
        <v>43497</v>
      </c>
      <c r="B84" s="207">
        <v>331</v>
      </c>
      <c r="C84" s="202"/>
      <c r="D84" s="208">
        <v>74</v>
      </c>
      <c r="E84" s="208">
        <v>1.5</v>
      </c>
      <c r="F84" s="208">
        <v>0.3</v>
      </c>
      <c r="G84" s="202"/>
    </row>
    <row r="85" spans="1:7" x14ac:dyDescent="0.3">
      <c r="A85" s="206">
        <v>43586</v>
      </c>
      <c r="B85" s="207">
        <v>335</v>
      </c>
      <c r="C85" s="202"/>
      <c r="D85" s="208">
        <v>66</v>
      </c>
      <c r="E85" s="208">
        <v>2.8</v>
      </c>
      <c r="F85" s="208">
        <v>1.2</v>
      </c>
      <c r="G85" s="202"/>
    </row>
    <row r="86" spans="1:7" x14ac:dyDescent="0.3">
      <c r="A86" s="206">
        <v>43678</v>
      </c>
      <c r="B86" s="207">
        <v>335</v>
      </c>
      <c r="C86" s="202"/>
      <c r="D86" s="208">
        <v>62</v>
      </c>
      <c r="E86" s="208">
        <v>2.4</v>
      </c>
      <c r="F86" s="208">
        <v>0</v>
      </c>
      <c r="G86" s="202"/>
    </row>
    <row r="87" spans="1:7" x14ac:dyDescent="0.3">
      <c r="A87" s="206">
        <v>43770</v>
      </c>
      <c r="B87" s="207">
        <v>333</v>
      </c>
      <c r="C87" s="202"/>
      <c r="D87" s="208">
        <v>56</v>
      </c>
      <c r="E87" s="208">
        <v>0.9</v>
      </c>
      <c r="F87" s="208">
        <v>-0.6</v>
      </c>
      <c r="G87" s="202"/>
    </row>
    <row r="88" spans="1:7" x14ac:dyDescent="0.3">
      <c r="A88" s="206">
        <v>43862</v>
      </c>
      <c r="B88" s="207">
        <v>335</v>
      </c>
      <c r="C88" s="202" t="s">
        <v>397</v>
      </c>
      <c r="D88" s="208"/>
      <c r="E88" s="208">
        <v>1.2</v>
      </c>
      <c r="F88" s="208">
        <v>0.6</v>
      </c>
      <c r="G88" s="202"/>
    </row>
    <row r="89" spans="1:7" x14ac:dyDescent="0.3">
      <c r="A89" s="206">
        <v>43952</v>
      </c>
      <c r="B89" s="207">
        <v>335</v>
      </c>
      <c r="C89" s="202" t="s">
        <v>397</v>
      </c>
      <c r="D89" s="208"/>
      <c r="E89" s="208">
        <v>0</v>
      </c>
      <c r="F89" s="208">
        <v>0</v>
      </c>
      <c r="G89" s="202"/>
    </row>
    <row r="90" spans="1:7" x14ac:dyDescent="0.3">
      <c r="A90" s="206">
        <v>44044</v>
      </c>
      <c r="B90" s="207">
        <v>330</v>
      </c>
      <c r="C90" s="202" t="s">
        <v>397</v>
      </c>
      <c r="D90" s="208"/>
      <c r="E90" s="208">
        <v>-1.5</v>
      </c>
      <c r="F90" s="208">
        <v>-1.5</v>
      </c>
      <c r="G90" s="202"/>
    </row>
    <row r="91" spans="1:7" x14ac:dyDescent="0.3">
      <c r="A91" s="206">
        <v>44136</v>
      </c>
      <c r="B91" s="207">
        <v>328</v>
      </c>
      <c r="C91" s="202" t="s">
        <v>397</v>
      </c>
      <c r="D91" s="208"/>
      <c r="E91" s="208">
        <v>-1.5</v>
      </c>
      <c r="F91" s="208">
        <v>-0.6</v>
      </c>
      <c r="G91" s="202"/>
    </row>
    <row r="92" spans="1:7" x14ac:dyDescent="0.3">
      <c r="A92" s="206">
        <v>44228</v>
      </c>
      <c r="B92" s="207">
        <v>328</v>
      </c>
      <c r="C92" s="202" t="s">
        <v>397</v>
      </c>
      <c r="D92" s="208"/>
      <c r="E92" s="208">
        <v>-2.1</v>
      </c>
      <c r="F92" s="208">
        <v>0</v>
      </c>
      <c r="G92" s="202"/>
    </row>
    <row r="93" spans="1:7" x14ac:dyDescent="0.3">
      <c r="A93" s="206">
        <v>44317</v>
      </c>
      <c r="B93" s="207">
        <v>331</v>
      </c>
      <c r="C93" s="202" t="s">
        <v>397</v>
      </c>
      <c r="D93" s="208"/>
      <c r="E93" s="208">
        <v>-1.2</v>
      </c>
      <c r="F93" s="208">
        <v>0.9</v>
      </c>
      <c r="G93" s="202"/>
    </row>
    <row r="94" spans="1:7" x14ac:dyDescent="0.3">
      <c r="A94" s="206">
        <v>44409</v>
      </c>
      <c r="B94" s="207">
        <v>339</v>
      </c>
      <c r="C94" s="202" t="s">
        <v>397</v>
      </c>
      <c r="D94" s="208"/>
      <c r="E94" s="208">
        <v>2.7</v>
      </c>
      <c r="F94" s="208">
        <v>2.4</v>
      </c>
      <c r="G94" s="202"/>
    </row>
    <row r="95" spans="1:7" x14ac:dyDescent="0.3">
      <c r="A95" s="206">
        <v>44501</v>
      </c>
      <c r="B95" s="207">
        <v>344</v>
      </c>
      <c r="C95" s="202" t="s">
        <v>397</v>
      </c>
      <c r="D95" s="208"/>
      <c r="E95" s="208">
        <v>4.9000000000000004</v>
      </c>
      <c r="F95" s="208">
        <v>1.5</v>
      </c>
      <c r="G95" s="202"/>
    </row>
    <row r="96" spans="1:7" x14ac:dyDescent="0.3">
      <c r="A96" s="206">
        <v>44593</v>
      </c>
      <c r="B96" s="207">
        <v>350</v>
      </c>
      <c r="C96" s="202" t="s">
        <v>398</v>
      </c>
      <c r="D96" s="208"/>
      <c r="E96" s="208">
        <v>6.7</v>
      </c>
      <c r="F96" s="208">
        <v>1.7</v>
      </c>
      <c r="G96" s="202"/>
    </row>
    <row r="97" spans="1:7" x14ac:dyDescent="0.3">
      <c r="A97" s="206">
        <v>44682</v>
      </c>
      <c r="B97" s="207">
        <v>355</v>
      </c>
      <c r="C97" s="202" t="s">
        <v>398</v>
      </c>
      <c r="D97" s="208"/>
      <c r="E97" s="208">
        <v>7.3</v>
      </c>
      <c r="F97" s="208">
        <v>1.4</v>
      </c>
      <c r="G97" s="202"/>
    </row>
    <row r="98" spans="1:7" x14ac:dyDescent="0.3">
      <c r="A98" s="206">
        <v>44774</v>
      </c>
      <c r="B98" s="207">
        <v>355</v>
      </c>
      <c r="C98" s="202" t="s">
        <v>398</v>
      </c>
      <c r="D98" s="208"/>
      <c r="E98" s="208">
        <v>4.7</v>
      </c>
      <c r="F98" s="208">
        <v>0</v>
      </c>
      <c r="G98" s="202"/>
    </row>
    <row r="99" spans="1:7" x14ac:dyDescent="0.3">
      <c r="A99" s="206">
        <v>44866</v>
      </c>
      <c r="B99" s="207">
        <v>356</v>
      </c>
      <c r="C99" s="202" t="s">
        <v>398</v>
      </c>
      <c r="D99" s="208"/>
      <c r="E99" s="208">
        <v>3.5</v>
      </c>
      <c r="F99" s="208">
        <v>0.3</v>
      </c>
      <c r="G99" s="202"/>
    </row>
    <row r="100" spans="1:7" x14ac:dyDescent="0.3">
      <c r="A100" s="206">
        <v>44958</v>
      </c>
      <c r="B100" s="207">
        <v>362</v>
      </c>
      <c r="C100" s="202" t="s">
        <v>398</v>
      </c>
      <c r="D100" s="208"/>
      <c r="E100" s="208">
        <v>3.4</v>
      </c>
      <c r="F100" s="208">
        <v>1.7</v>
      </c>
      <c r="G100" s="202"/>
    </row>
    <row r="101" spans="1:7" x14ac:dyDescent="0.3">
      <c r="A101" s="206">
        <v>45047</v>
      </c>
      <c r="B101" s="207">
        <v>367</v>
      </c>
      <c r="C101" s="202" t="s">
        <v>398</v>
      </c>
      <c r="D101" s="208"/>
      <c r="E101" s="208">
        <v>3.4</v>
      </c>
      <c r="F101" s="208">
        <v>1.4</v>
      </c>
      <c r="G101" s="202"/>
    </row>
    <row r="102" spans="1:7" x14ac:dyDescent="0.3">
      <c r="A102" s="206">
        <v>45139</v>
      </c>
      <c r="B102" s="207">
        <v>367</v>
      </c>
      <c r="C102" s="202" t="s">
        <v>398</v>
      </c>
      <c r="D102" s="208"/>
      <c r="E102" s="208">
        <v>3.4</v>
      </c>
      <c r="F102" s="208">
        <v>0</v>
      </c>
      <c r="G102" s="202"/>
    </row>
    <row r="103" spans="1:7" x14ac:dyDescent="0.3">
      <c r="A103" s="206">
        <v>45231</v>
      </c>
      <c r="B103" s="207">
        <v>370</v>
      </c>
      <c r="C103" s="202" t="s">
        <v>398</v>
      </c>
      <c r="D103" s="208"/>
      <c r="E103" s="208">
        <v>3.9</v>
      </c>
      <c r="F103" s="208">
        <v>0.8</v>
      </c>
      <c r="G103" s="202"/>
    </row>
    <row r="104" spans="1:7" x14ac:dyDescent="0.3">
      <c r="A104" s="206">
        <v>45323</v>
      </c>
      <c r="B104" s="207">
        <v>377</v>
      </c>
      <c r="C104" s="202" t="s">
        <v>398</v>
      </c>
      <c r="D104" s="208"/>
      <c r="E104" s="208">
        <v>4.0999999999999996</v>
      </c>
      <c r="F104" s="208">
        <v>1.9</v>
      </c>
      <c r="G104" s="202"/>
    </row>
    <row r="105" spans="1:7" x14ac:dyDescent="0.3">
      <c r="A105" s="206">
        <v>45413</v>
      </c>
      <c r="B105" s="207">
        <v>382</v>
      </c>
      <c r="C105" s="202" t="s">
        <v>398</v>
      </c>
      <c r="D105" s="208"/>
      <c r="E105" s="208">
        <v>4.0999999999999996</v>
      </c>
      <c r="F105" s="208">
        <v>1.3</v>
      </c>
      <c r="G105" s="202"/>
    </row>
    <row r="106" spans="1:7" x14ac:dyDescent="0.3">
      <c r="A106" s="206">
        <v>45505</v>
      </c>
      <c r="B106" s="207">
        <v>382</v>
      </c>
      <c r="C106" s="202" t="s">
        <v>398</v>
      </c>
      <c r="D106" s="208"/>
      <c r="E106" s="208">
        <v>4.0999999999999996</v>
      </c>
      <c r="F106" s="208">
        <v>0</v>
      </c>
      <c r="G106" s="202"/>
    </row>
    <row r="107" spans="1:7" x14ac:dyDescent="0.3">
      <c r="A107" s="206">
        <v>45597</v>
      </c>
      <c r="B107" s="207">
        <v>385</v>
      </c>
      <c r="C107" s="202" t="s">
        <v>398</v>
      </c>
      <c r="D107" s="208"/>
      <c r="E107" s="208">
        <v>4.0999999999999996</v>
      </c>
      <c r="F107" s="208">
        <v>0.8</v>
      </c>
      <c r="G107" s="202"/>
    </row>
    <row r="108" spans="1:7" x14ac:dyDescent="0.3">
      <c r="A108" s="206">
        <v>45689</v>
      </c>
      <c r="B108" s="207">
        <v>392</v>
      </c>
      <c r="C108" s="202" t="s">
        <v>398</v>
      </c>
      <c r="D108" s="208"/>
      <c r="E108" s="208">
        <v>4</v>
      </c>
      <c r="F108" s="208">
        <v>1.8</v>
      </c>
      <c r="G108" s="202"/>
    </row>
    <row r="109" spans="1:7" x14ac:dyDescent="0.3">
      <c r="A109" s="206">
        <v>45778</v>
      </c>
      <c r="B109" s="207">
        <v>397</v>
      </c>
      <c r="C109" s="202" t="s">
        <v>398</v>
      </c>
      <c r="D109" s="208"/>
      <c r="E109" s="208">
        <v>3.9</v>
      </c>
      <c r="F109" s="208">
        <v>1.3</v>
      </c>
      <c r="G109" s="202"/>
    </row>
    <row r="110" spans="1:7" x14ac:dyDescent="0.3">
      <c r="A110" s="206">
        <v>45870</v>
      </c>
      <c r="B110" s="207">
        <v>397</v>
      </c>
      <c r="C110" s="202" t="s">
        <v>398</v>
      </c>
      <c r="D110" s="208"/>
      <c r="E110" s="208">
        <v>3.9</v>
      </c>
      <c r="F110" s="208">
        <v>0</v>
      </c>
      <c r="G110" s="202"/>
    </row>
    <row r="111" spans="1:7" x14ac:dyDescent="0.3">
      <c r="A111" s="206">
        <v>45962</v>
      </c>
      <c r="B111" s="207">
        <v>400</v>
      </c>
      <c r="C111" s="202" t="s">
        <v>398</v>
      </c>
      <c r="D111" s="208"/>
      <c r="E111" s="208">
        <v>3.9</v>
      </c>
      <c r="F111" s="208">
        <v>0.8</v>
      </c>
      <c r="G111" s="202"/>
    </row>
    <row r="112" spans="1:7" x14ac:dyDescent="0.3">
      <c r="A112" s="206">
        <v>46054</v>
      </c>
      <c r="B112" s="207">
        <v>407</v>
      </c>
      <c r="C112" s="202" t="s">
        <v>398</v>
      </c>
      <c r="D112" s="208"/>
      <c r="E112" s="208">
        <v>3.8</v>
      </c>
      <c r="F112" s="208">
        <v>1.8</v>
      </c>
      <c r="G112" s="202"/>
    </row>
    <row r="113" spans="1:7" x14ac:dyDescent="0.3">
      <c r="A113" s="206">
        <v>46143</v>
      </c>
      <c r="B113" s="207">
        <v>412</v>
      </c>
      <c r="C113" s="202" t="s">
        <v>398</v>
      </c>
      <c r="D113" s="208"/>
      <c r="E113" s="208">
        <v>3.8</v>
      </c>
      <c r="F113" s="208">
        <v>1.2</v>
      </c>
      <c r="G113" s="202"/>
    </row>
    <row r="114" spans="1:7" ht="15" thickBot="1" x14ac:dyDescent="0.35">
      <c r="A114" s="209">
        <v>46235</v>
      </c>
      <c r="B114" s="210">
        <v>412</v>
      </c>
      <c r="C114" s="211" t="s">
        <v>398</v>
      </c>
      <c r="D114" s="212"/>
      <c r="E114" s="212">
        <v>3.8</v>
      </c>
      <c r="F114" s="212">
        <v>0</v>
      </c>
      <c r="G114" s="202"/>
    </row>
    <row r="115" spans="1:7" ht="15" thickTop="1" x14ac:dyDescent="0.3">
      <c r="A115" s="202"/>
      <c r="B115" s="202"/>
      <c r="C115" s="202"/>
      <c r="D115" s="202"/>
      <c r="E115" s="202"/>
      <c r="F115" s="202"/>
      <c r="G115" s="202"/>
    </row>
  </sheetData>
  <mergeCells count="5">
    <mergeCell ref="B1:F1"/>
    <mergeCell ref="B3:D3"/>
    <mergeCell ref="B4:C4"/>
    <mergeCell ref="B5:F5"/>
    <mergeCell ref="E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8</vt:i4>
      </vt:variant>
    </vt:vector>
  </HeadingPairs>
  <TitlesOfParts>
    <vt:vector size="23" baseType="lpstr">
      <vt:lpstr>Cover</vt:lpstr>
      <vt:lpstr>Summary</vt:lpstr>
      <vt:lpstr>Allowances &amp; Assumptions</vt:lpstr>
      <vt:lpstr>Document Register</vt:lpstr>
      <vt:lpstr>5. Excavate &amp; fill</vt:lpstr>
      <vt:lpstr>7. Piling</vt:lpstr>
      <vt:lpstr>11. In-situ concrete</vt:lpstr>
      <vt:lpstr>14. Masonry</vt:lpstr>
      <vt:lpstr>28. Floor finishes</vt:lpstr>
      <vt:lpstr>33. Drainage above ground</vt:lpstr>
      <vt:lpstr>34. Drainage below ground</vt:lpstr>
      <vt:lpstr>35. Site works</vt:lpstr>
      <vt:lpstr>Take-off Quantities</vt:lpstr>
      <vt:lpstr>Index Factors</vt:lpstr>
      <vt:lpstr>BCIS Indices</vt:lpstr>
      <vt:lpstr>'28. Floor finishes'!Print_Area</vt:lpstr>
      <vt:lpstr>'33. Drainage above ground'!Print_Area</vt:lpstr>
      <vt:lpstr>'34. Drainage below ground'!Print_Area</vt:lpstr>
      <vt:lpstr>'7. Piling'!Print_Area</vt:lpstr>
      <vt:lpstr>Cover!Print_Area</vt:lpstr>
      <vt:lpstr>'Document Register'!Print_Area</vt:lpstr>
      <vt:lpstr>'Index Factors'!Print_Area</vt:lpstr>
      <vt:lpstr>Summary!Print_Area</vt:lpstr>
    </vt:vector>
  </TitlesOfParts>
  <Company>Persimmon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Adamson</dc:creator>
  <cp:lastModifiedBy>Tobias Adamson</cp:lastModifiedBy>
  <dcterms:created xsi:type="dcterms:W3CDTF">2021-11-26T09:15:25Z</dcterms:created>
  <dcterms:modified xsi:type="dcterms:W3CDTF">2022-04-22T13:48:09Z</dcterms:modified>
</cp:coreProperties>
</file>