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702"/>
  <workbookPr/>
  <mc:AlternateContent xmlns:mc="http://schemas.openxmlformats.org/markup-compatibility/2006">
    <mc:Choice Requires="x15">
      <x15ac:absPath xmlns:x15ac="http://schemas.microsoft.com/office/spreadsheetml/2010/11/ac" url="/Users/apple/Desktop/"/>
    </mc:Choice>
  </mc:AlternateContent>
  <bookViews>
    <workbookView xWindow="0" yWindow="460" windowWidth="25600" windowHeight="14440" tabRatio="500"/>
  </bookViews>
  <sheets>
    <sheet name="sheet1" sheetId="1" r:id="rId1"/>
    <sheet name="sheet2" sheetId="2" r:id="rId2"/>
    <sheet name="sheet3" sheetId="3" r:id="rId3"/>
    <sheet name="first part" sheetId="4" r:id="rId4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1" i="4" l="1"/>
  <c r="D14" i="4"/>
  <c r="D13" i="4"/>
  <c r="D12" i="4"/>
  <c r="D3" i="4"/>
  <c r="D6" i="4"/>
  <c r="D5" i="4"/>
  <c r="D4" i="4"/>
  <c r="J46" i="3"/>
  <c r="L46" i="3"/>
  <c r="F46" i="3"/>
  <c r="H46" i="3"/>
  <c r="D46" i="3"/>
  <c r="Q17" i="3"/>
  <c r="Q18" i="3"/>
  <c r="Q19" i="3"/>
  <c r="Q20" i="3"/>
  <c r="Q16" i="3"/>
  <c r="H44" i="3"/>
  <c r="J44" i="3"/>
  <c r="L44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27" i="3"/>
  <c r="J42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27" i="3"/>
  <c r="G42" i="3"/>
  <c r="H42" i="3"/>
  <c r="G28" i="3"/>
  <c r="H28" i="3"/>
  <c r="G29" i="3"/>
  <c r="H29" i="3"/>
  <c r="G30" i="3"/>
  <c r="H30" i="3"/>
  <c r="G31" i="3"/>
  <c r="H31" i="3"/>
  <c r="G32" i="3"/>
  <c r="H32" i="3"/>
  <c r="G33" i="3"/>
  <c r="H33" i="3"/>
  <c r="G34" i="3"/>
  <c r="H34" i="3"/>
  <c r="G35" i="3"/>
  <c r="H35" i="3"/>
  <c r="G36" i="3"/>
  <c r="H36" i="3"/>
  <c r="G37" i="3"/>
  <c r="H37" i="3"/>
  <c r="G38" i="3"/>
  <c r="H38" i="3"/>
  <c r="G39" i="3"/>
  <c r="H39" i="3"/>
  <c r="G40" i="3"/>
  <c r="H40" i="3"/>
  <c r="G41" i="3"/>
  <c r="H41" i="3"/>
  <c r="H27" i="3"/>
  <c r="F27" i="3"/>
  <c r="E28" i="3"/>
  <c r="F28" i="3"/>
  <c r="E29" i="3"/>
  <c r="F29" i="3"/>
  <c r="E30" i="3"/>
  <c r="F30" i="3"/>
  <c r="E31" i="3"/>
  <c r="F31" i="3"/>
  <c r="E32" i="3"/>
  <c r="F32" i="3"/>
  <c r="E33" i="3"/>
  <c r="F33" i="3"/>
  <c r="E34" i="3"/>
  <c r="F34" i="3"/>
  <c r="E35" i="3"/>
  <c r="F35" i="3"/>
  <c r="E36" i="3"/>
  <c r="F36" i="3"/>
  <c r="E37" i="3"/>
  <c r="F37" i="3"/>
  <c r="E38" i="3"/>
  <c r="F38" i="3"/>
  <c r="E39" i="3"/>
  <c r="F39" i="3"/>
  <c r="E40" i="3"/>
  <c r="F40" i="3"/>
  <c r="E41" i="3"/>
  <c r="F41" i="3"/>
  <c r="E42" i="3"/>
  <c r="F42" i="3"/>
  <c r="F44" i="3"/>
  <c r="D27" i="3"/>
  <c r="C28" i="3"/>
  <c r="D28" i="3"/>
  <c r="C29" i="3"/>
  <c r="D29" i="3"/>
  <c r="C30" i="3"/>
  <c r="D30" i="3"/>
  <c r="C31" i="3"/>
  <c r="D31" i="3"/>
  <c r="C32" i="3"/>
  <c r="D32" i="3"/>
  <c r="C33" i="3"/>
  <c r="D33" i="3"/>
  <c r="C34" i="3"/>
  <c r="D34" i="3"/>
  <c r="C35" i="3"/>
  <c r="D35" i="3"/>
  <c r="C36" i="3"/>
  <c r="D36" i="3"/>
  <c r="C37" i="3"/>
  <c r="D37" i="3"/>
  <c r="C38" i="3"/>
  <c r="D38" i="3"/>
  <c r="C39" i="3"/>
  <c r="D39" i="3"/>
  <c r="C40" i="3"/>
  <c r="D40" i="3"/>
  <c r="C41" i="3"/>
  <c r="D41" i="3"/>
  <c r="C42" i="3"/>
  <c r="D42" i="3"/>
  <c r="D44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28" i="3"/>
  <c r="L20" i="3"/>
  <c r="M20" i="3"/>
  <c r="P20" i="3"/>
  <c r="M19" i="3"/>
  <c r="N19" i="3"/>
  <c r="P19" i="3"/>
  <c r="N18" i="3"/>
  <c r="O18" i="3"/>
  <c r="P18" i="3"/>
  <c r="N17" i="3"/>
  <c r="O17" i="3"/>
  <c r="P17" i="3"/>
  <c r="O19" i="3"/>
  <c r="O20" i="3"/>
  <c r="N20" i="3"/>
  <c r="M18" i="3"/>
  <c r="M17" i="3"/>
  <c r="L18" i="3"/>
  <c r="L19" i="3"/>
  <c r="L17" i="3"/>
  <c r="H18" i="3"/>
  <c r="H19" i="3"/>
  <c r="H20" i="3"/>
  <c r="H17" i="3"/>
  <c r="I18" i="3"/>
  <c r="I19" i="3"/>
  <c r="I20" i="3"/>
  <c r="I17" i="3"/>
  <c r="U54" i="1"/>
  <c r="F3" i="3"/>
  <c r="F4" i="3"/>
  <c r="F5" i="3"/>
  <c r="F2" i="3"/>
  <c r="E3" i="3"/>
  <c r="E4" i="3"/>
  <c r="E5" i="3"/>
  <c r="E2" i="3"/>
  <c r="D3" i="3"/>
  <c r="D4" i="3"/>
  <c r="D5" i="3"/>
  <c r="D2" i="3"/>
  <c r="C3" i="3"/>
  <c r="C4" i="3"/>
  <c r="C5" i="3"/>
  <c r="C2" i="3"/>
  <c r="Z72" i="1"/>
  <c r="X72" i="1"/>
  <c r="V72" i="1"/>
  <c r="T72" i="1"/>
  <c r="R72" i="1"/>
  <c r="P72" i="1"/>
  <c r="N72" i="1"/>
  <c r="L72" i="1"/>
  <c r="J72" i="1"/>
  <c r="H72" i="1"/>
  <c r="F72" i="1"/>
  <c r="M25" i="1"/>
  <c r="M26" i="1"/>
  <c r="M27" i="1"/>
  <c r="M28" i="1"/>
  <c r="M29" i="1"/>
  <c r="M30" i="1"/>
  <c r="M31" i="1"/>
  <c r="M32" i="1"/>
  <c r="M33" i="1"/>
  <c r="M34" i="1"/>
  <c r="M35" i="1"/>
  <c r="M36" i="1"/>
  <c r="M24" i="1"/>
  <c r="L25" i="1"/>
  <c r="L26" i="1"/>
  <c r="L27" i="1"/>
  <c r="L28" i="1"/>
  <c r="L29" i="1"/>
  <c r="L30" i="1"/>
  <c r="L31" i="1"/>
  <c r="L32" i="1"/>
  <c r="L33" i="1"/>
  <c r="L34" i="1"/>
  <c r="L35" i="1"/>
  <c r="L36" i="1"/>
  <c r="L24" i="1"/>
  <c r="D71" i="1"/>
  <c r="D72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AB70" i="1"/>
  <c r="Z70" i="1"/>
  <c r="X70" i="1"/>
  <c r="V70" i="1"/>
  <c r="T70" i="1"/>
  <c r="R70" i="1"/>
  <c r="P70" i="1"/>
  <c r="N70" i="1"/>
  <c r="L70" i="1"/>
  <c r="J70" i="1"/>
  <c r="H70" i="1"/>
  <c r="F70" i="1"/>
  <c r="D70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54" i="1"/>
  <c r="U69" i="1"/>
  <c r="V69" i="1"/>
  <c r="U55" i="1"/>
  <c r="V55" i="1"/>
  <c r="U56" i="1"/>
  <c r="V56" i="1"/>
  <c r="U57" i="1"/>
  <c r="V57" i="1"/>
  <c r="U58" i="1"/>
  <c r="V58" i="1"/>
  <c r="U59" i="1"/>
  <c r="V59" i="1"/>
  <c r="U60" i="1"/>
  <c r="V60" i="1"/>
  <c r="U61" i="1"/>
  <c r="V61" i="1"/>
  <c r="U62" i="1"/>
  <c r="V62" i="1"/>
  <c r="U63" i="1"/>
  <c r="V63" i="1"/>
  <c r="U64" i="1"/>
  <c r="V64" i="1"/>
  <c r="U65" i="1"/>
  <c r="V65" i="1"/>
  <c r="U66" i="1"/>
  <c r="V66" i="1"/>
  <c r="U67" i="1"/>
  <c r="V67" i="1"/>
  <c r="U68" i="1"/>
  <c r="V68" i="1"/>
  <c r="V54" i="1"/>
  <c r="S55" i="1"/>
  <c r="T55" i="1"/>
  <c r="S56" i="1"/>
  <c r="T56" i="1"/>
  <c r="S57" i="1"/>
  <c r="T57" i="1"/>
  <c r="S58" i="1"/>
  <c r="T58" i="1"/>
  <c r="S59" i="1"/>
  <c r="T59" i="1"/>
  <c r="S60" i="1"/>
  <c r="T60" i="1"/>
  <c r="S61" i="1"/>
  <c r="T61" i="1"/>
  <c r="S62" i="1"/>
  <c r="T62" i="1"/>
  <c r="S63" i="1"/>
  <c r="T63" i="1"/>
  <c r="S64" i="1"/>
  <c r="T64" i="1"/>
  <c r="S65" i="1"/>
  <c r="T65" i="1"/>
  <c r="S66" i="1"/>
  <c r="T66" i="1"/>
  <c r="S67" i="1"/>
  <c r="T67" i="1"/>
  <c r="S68" i="1"/>
  <c r="T68" i="1"/>
  <c r="S69" i="1"/>
  <c r="T69" i="1"/>
  <c r="S54" i="1"/>
  <c r="T54" i="1"/>
  <c r="O54" i="1"/>
  <c r="P54" i="1"/>
  <c r="Q54" i="1"/>
  <c r="R54" i="1"/>
  <c r="Y54" i="1"/>
  <c r="Z54" i="1"/>
  <c r="Q55" i="1"/>
  <c r="R55" i="1"/>
  <c r="Q56" i="1"/>
  <c r="R56" i="1"/>
  <c r="Q57" i="1"/>
  <c r="R57" i="1"/>
  <c r="Q58" i="1"/>
  <c r="R58" i="1"/>
  <c r="Q59" i="1"/>
  <c r="R59" i="1"/>
  <c r="Q60" i="1"/>
  <c r="R60" i="1"/>
  <c r="Q61" i="1"/>
  <c r="R61" i="1"/>
  <c r="Q62" i="1"/>
  <c r="R62" i="1"/>
  <c r="Q63" i="1"/>
  <c r="R63" i="1"/>
  <c r="Q64" i="1"/>
  <c r="R64" i="1"/>
  <c r="Q65" i="1"/>
  <c r="R65" i="1"/>
  <c r="Q66" i="1"/>
  <c r="R66" i="1"/>
  <c r="Q67" i="1"/>
  <c r="R67" i="1"/>
  <c r="Q68" i="1"/>
  <c r="R68" i="1"/>
  <c r="Q69" i="1"/>
  <c r="R69" i="1"/>
  <c r="O55" i="1"/>
  <c r="P55" i="1"/>
  <c r="O56" i="1"/>
  <c r="P56" i="1"/>
  <c r="O57" i="1"/>
  <c r="P57" i="1"/>
  <c r="O58" i="1"/>
  <c r="P58" i="1"/>
  <c r="O59" i="1"/>
  <c r="P59" i="1"/>
  <c r="O60" i="1"/>
  <c r="P60" i="1"/>
  <c r="O61" i="1"/>
  <c r="P61" i="1"/>
  <c r="O62" i="1"/>
  <c r="P62" i="1"/>
  <c r="O63" i="1"/>
  <c r="P63" i="1"/>
  <c r="O64" i="1"/>
  <c r="P64" i="1"/>
  <c r="O65" i="1"/>
  <c r="P65" i="1"/>
  <c r="O66" i="1"/>
  <c r="P66" i="1"/>
  <c r="O67" i="1"/>
  <c r="P67" i="1"/>
  <c r="O68" i="1"/>
  <c r="P68" i="1"/>
  <c r="O69" i="1"/>
  <c r="P69" i="1"/>
  <c r="M55" i="1"/>
  <c r="N55" i="1"/>
  <c r="M56" i="1"/>
  <c r="N56" i="1"/>
  <c r="M57" i="1"/>
  <c r="N57" i="1"/>
  <c r="M58" i="1"/>
  <c r="N58" i="1"/>
  <c r="M59" i="1"/>
  <c r="N59" i="1"/>
  <c r="M60" i="1"/>
  <c r="N60" i="1"/>
  <c r="M61" i="1"/>
  <c r="N61" i="1"/>
  <c r="M62" i="1"/>
  <c r="N62" i="1"/>
  <c r="M63" i="1"/>
  <c r="N63" i="1"/>
  <c r="M64" i="1"/>
  <c r="N64" i="1"/>
  <c r="M65" i="1"/>
  <c r="N65" i="1"/>
  <c r="M66" i="1"/>
  <c r="N66" i="1"/>
  <c r="M67" i="1"/>
  <c r="N67" i="1"/>
  <c r="M68" i="1"/>
  <c r="N68" i="1"/>
  <c r="M69" i="1"/>
  <c r="N69" i="1"/>
  <c r="M54" i="1"/>
  <c r="N54" i="1"/>
  <c r="K55" i="1"/>
  <c r="L55" i="1"/>
  <c r="K56" i="1"/>
  <c r="L56" i="1"/>
  <c r="K57" i="1"/>
  <c r="L57" i="1"/>
  <c r="K58" i="1"/>
  <c r="L58" i="1"/>
  <c r="K59" i="1"/>
  <c r="L59" i="1"/>
  <c r="K60" i="1"/>
  <c r="L60" i="1"/>
  <c r="K61" i="1"/>
  <c r="L61" i="1"/>
  <c r="K62" i="1"/>
  <c r="L62" i="1"/>
  <c r="K63" i="1"/>
  <c r="L63" i="1"/>
  <c r="K64" i="1"/>
  <c r="L64" i="1"/>
  <c r="K65" i="1"/>
  <c r="L65" i="1"/>
  <c r="K66" i="1"/>
  <c r="L66" i="1"/>
  <c r="K67" i="1"/>
  <c r="L67" i="1"/>
  <c r="K68" i="1"/>
  <c r="L68" i="1"/>
  <c r="K69" i="1"/>
  <c r="L69" i="1"/>
  <c r="K54" i="1"/>
  <c r="L54" i="1"/>
  <c r="I55" i="1"/>
  <c r="J55" i="1"/>
  <c r="I56" i="1"/>
  <c r="J56" i="1"/>
  <c r="I57" i="1"/>
  <c r="J57" i="1"/>
  <c r="I58" i="1"/>
  <c r="J58" i="1"/>
  <c r="I59" i="1"/>
  <c r="J59" i="1"/>
  <c r="I60" i="1"/>
  <c r="J60" i="1"/>
  <c r="I61" i="1"/>
  <c r="J61" i="1"/>
  <c r="I62" i="1"/>
  <c r="J62" i="1"/>
  <c r="I63" i="1"/>
  <c r="J63" i="1"/>
  <c r="I64" i="1"/>
  <c r="J64" i="1"/>
  <c r="I65" i="1"/>
  <c r="J65" i="1"/>
  <c r="I66" i="1"/>
  <c r="J66" i="1"/>
  <c r="I67" i="1"/>
  <c r="J67" i="1"/>
  <c r="I68" i="1"/>
  <c r="J68" i="1"/>
  <c r="I69" i="1"/>
  <c r="J69" i="1"/>
  <c r="I54" i="1"/>
  <c r="J54" i="1"/>
  <c r="G55" i="1"/>
  <c r="H55" i="1"/>
  <c r="G56" i="1"/>
  <c r="H56" i="1"/>
  <c r="G57" i="1"/>
  <c r="H57" i="1"/>
  <c r="G58" i="1"/>
  <c r="H58" i="1"/>
  <c r="G59" i="1"/>
  <c r="H59" i="1"/>
  <c r="G60" i="1"/>
  <c r="H60" i="1"/>
  <c r="G61" i="1"/>
  <c r="H61" i="1"/>
  <c r="G62" i="1"/>
  <c r="H62" i="1"/>
  <c r="G63" i="1"/>
  <c r="H63" i="1"/>
  <c r="G64" i="1"/>
  <c r="H64" i="1"/>
  <c r="G65" i="1"/>
  <c r="H65" i="1"/>
  <c r="G66" i="1"/>
  <c r="H66" i="1"/>
  <c r="G67" i="1"/>
  <c r="H67" i="1"/>
  <c r="G68" i="1"/>
  <c r="H68" i="1"/>
  <c r="G69" i="1"/>
  <c r="H69" i="1"/>
  <c r="G54" i="1"/>
  <c r="H54" i="1"/>
  <c r="E55" i="1"/>
  <c r="F55" i="1"/>
  <c r="E56" i="1"/>
  <c r="F56" i="1"/>
  <c r="E57" i="1"/>
  <c r="F57" i="1"/>
  <c r="E58" i="1"/>
  <c r="F58" i="1"/>
  <c r="E59" i="1"/>
  <c r="F59" i="1"/>
  <c r="E60" i="1"/>
  <c r="F60" i="1"/>
  <c r="E61" i="1"/>
  <c r="F61" i="1"/>
  <c r="E62" i="1"/>
  <c r="F62" i="1"/>
  <c r="E63" i="1"/>
  <c r="F63" i="1"/>
  <c r="E64" i="1"/>
  <c r="F64" i="1"/>
  <c r="E65" i="1"/>
  <c r="F65" i="1"/>
  <c r="E66" i="1"/>
  <c r="F66" i="1"/>
  <c r="E67" i="1"/>
  <c r="F67" i="1"/>
  <c r="E68" i="1"/>
  <c r="F68" i="1"/>
  <c r="E69" i="1"/>
  <c r="F69" i="1"/>
  <c r="E54" i="1"/>
  <c r="F54" i="1"/>
  <c r="C55" i="1"/>
  <c r="D55" i="1"/>
  <c r="C56" i="1"/>
  <c r="D56" i="1"/>
  <c r="C57" i="1"/>
  <c r="D57" i="1"/>
  <c r="C58" i="1"/>
  <c r="D58" i="1"/>
  <c r="C59" i="1"/>
  <c r="D59" i="1"/>
  <c r="C60" i="1"/>
  <c r="D60" i="1"/>
  <c r="C61" i="1"/>
  <c r="D61" i="1"/>
  <c r="C62" i="1"/>
  <c r="D62" i="1"/>
  <c r="C63" i="1"/>
  <c r="D63" i="1"/>
  <c r="C64" i="1"/>
  <c r="D64" i="1"/>
  <c r="C65" i="1"/>
  <c r="D65" i="1"/>
  <c r="C66" i="1"/>
  <c r="D66" i="1"/>
  <c r="C67" i="1"/>
  <c r="D67" i="1"/>
  <c r="C68" i="1"/>
  <c r="D68" i="1"/>
  <c r="C69" i="1"/>
  <c r="D69" i="1"/>
  <c r="C54" i="1"/>
  <c r="D54" i="1"/>
  <c r="Y55" i="1"/>
  <c r="Z55" i="1"/>
  <c r="Y56" i="1"/>
  <c r="Z56" i="1"/>
  <c r="Y57" i="1"/>
  <c r="Z57" i="1"/>
  <c r="Y58" i="1"/>
  <c r="Z58" i="1"/>
  <c r="Y59" i="1"/>
  <c r="Z59" i="1"/>
  <c r="Y60" i="1"/>
  <c r="Z60" i="1"/>
  <c r="Y61" i="1"/>
  <c r="Z61" i="1"/>
  <c r="Y62" i="1"/>
  <c r="Z62" i="1"/>
  <c r="Y63" i="1"/>
  <c r="Z63" i="1"/>
  <c r="Y64" i="1"/>
  <c r="Z64" i="1"/>
  <c r="Y65" i="1"/>
  <c r="Z65" i="1"/>
  <c r="Y66" i="1"/>
  <c r="Z66" i="1"/>
  <c r="Y67" i="1"/>
  <c r="Z67" i="1"/>
  <c r="Y68" i="1"/>
  <c r="Z68" i="1"/>
  <c r="Y69" i="1"/>
  <c r="Z69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54" i="1"/>
  <c r="AA69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54" i="1"/>
  <c r="J25" i="1"/>
  <c r="J26" i="1"/>
  <c r="J27" i="1"/>
  <c r="J28" i="1"/>
  <c r="J29" i="1"/>
  <c r="J30" i="1"/>
  <c r="J31" i="1"/>
  <c r="J32" i="1"/>
  <c r="J33" i="1"/>
  <c r="J34" i="1"/>
  <c r="J35" i="1"/>
  <c r="J36" i="1"/>
  <c r="J24" i="1"/>
  <c r="I25" i="1"/>
  <c r="I26" i="1"/>
  <c r="I27" i="1"/>
  <c r="I28" i="1"/>
  <c r="I29" i="1"/>
  <c r="I30" i="1"/>
  <c r="I31" i="1"/>
  <c r="I32" i="1"/>
  <c r="I33" i="1"/>
  <c r="I34" i="1"/>
  <c r="I35" i="1"/>
  <c r="I36" i="1"/>
  <c r="I24" i="1"/>
  <c r="E25" i="1"/>
  <c r="H25" i="1"/>
  <c r="E26" i="1"/>
  <c r="H26" i="1"/>
  <c r="E27" i="1"/>
  <c r="H27" i="1"/>
  <c r="E28" i="1"/>
  <c r="H28" i="1"/>
  <c r="E29" i="1"/>
  <c r="H29" i="1"/>
  <c r="E30" i="1"/>
  <c r="H30" i="1"/>
  <c r="E31" i="1"/>
  <c r="H31" i="1"/>
  <c r="E32" i="1"/>
  <c r="H32" i="1"/>
  <c r="E33" i="1"/>
  <c r="H33" i="1"/>
  <c r="E34" i="1"/>
  <c r="H34" i="1"/>
  <c r="E35" i="1"/>
  <c r="H35" i="1"/>
  <c r="E36" i="1"/>
  <c r="H36" i="1"/>
  <c r="E24" i="1"/>
  <c r="H24" i="1"/>
  <c r="B36" i="1"/>
  <c r="G36" i="1"/>
  <c r="B35" i="1"/>
  <c r="G35" i="1"/>
  <c r="B34" i="1"/>
  <c r="G34" i="1"/>
  <c r="B33" i="1"/>
  <c r="G33" i="1"/>
  <c r="B32" i="1"/>
  <c r="G32" i="1"/>
  <c r="B31" i="1"/>
  <c r="G31" i="1"/>
  <c r="B30" i="1"/>
  <c r="G30" i="1"/>
  <c r="B29" i="1"/>
  <c r="G29" i="1"/>
  <c r="B28" i="1"/>
  <c r="G28" i="1"/>
  <c r="B27" i="1"/>
  <c r="G27" i="1"/>
  <c r="B26" i="1"/>
  <c r="G26" i="1"/>
  <c r="B25" i="1"/>
  <c r="G25" i="1"/>
  <c r="B24" i="1"/>
  <c r="G24" i="1"/>
  <c r="B17" i="1"/>
  <c r="D17" i="1"/>
  <c r="G17" i="1"/>
  <c r="E17" i="1"/>
  <c r="O17" i="1"/>
  <c r="P17" i="1"/>
  <c r="Q17" i="1"/>
  <c r="B13" i="1"/>
  <c r="D13" i="1"/>
  <c r="G13" i="1"/>
  <c r="E13" i="1"/>
  <c r="O13" i="1"/>
  <c r="P13" i="1"/>
  <c r="Q13" i="1"/>
  <c r="B14" i="1"/>
  <c r="D14" i="1"/>
  <c r="G14" i="1"/>
  <c r="E14" i="1"/>
  <c r="O14" i="1"/>
  <c r="P14" i="1"/>
  <c r="Q14" i="1"/>
  <c r="B15" i="1"/>
  <c r="D15" i="1"/>
  <c r="G15" i="1"/>
  <c r="E15" i="1"/>
  <c r="O15" i="1"/>
  <c r="P15" i="1"/>
  <c r="Q15" i="1"/>
  <c r="B16" i="1"/>
  <c r="D16" i="1"/>
  <c r="G16" i="1"/>
  <c r="E16" i="1"/>
  <c r="O16" i="1"/>
  <c r="P16" i="1"/>
  <c r="Q16" i="1"/>
  <c r="B12" i="1"/>
  <c r="D12" i="1"/>
  <c r="G12" i="1"/>
  <c r="E12" i="1"/>
  <c r="O12" i="1"/>
  <c r="P12" i="1"/>
  <c r="Q12" i="1"/>
  <c r="B11" i="1"/>
  <c r="D11" i="1"/>
  <c r="G11" i="1"/>
  <c r="E11" i="1"/>
  <c r="N11" i="1"/>
  <c r="O11" i="1"/>
  <c r="Q11" i="1"/>
  <c r="B10" i="1"/>
  <c r="D10" i="1"/>
  <c r="G10" i="1"/>
  <c r="E10" i="1"/>
  <c r="M10" i="1"/>
  <c r="N10" i="1"/>
  <c r="Q10" i="1"/>
  <c r="B9" i="1"/>
  <c r="D9" i="1"/>
  <c r="G9" i="1"/>
  <c r="E9" i="1"/>
  <c r="L9" i="1"/>
  <c r="M9" i="1"/>
  <c r="Q9" i="1"/>
  <c r="B8" i="1"/>
  <c r="D8" i="1"/>
  <c r="G8" i="1"/>
  <c r="E8" i="1"/>
  <c r="K8" i="1"/>
  <c r="L8" i="1"/>
  <c r="Q8" i="1"/>
  <c r="B7" i="1"/>
  <c r="D7" i="1"/>
  <c r="G7" i="1"/>
  <c r="E7" i="1"/>
  <c r="J7" i="1"/>
  <c r="K7" i="1"/>
  <c r="Q7" i="1"/>
  <c r="B6" i="1"/>
  <c r="D6" i="1"/>
  <c r="E6" i="1"/>
  <c r="P6" i="1"/>
  <c r="P7" i="1"/>
  <c r="P8" i="1"/>
  <c r="P9" i="1"/>
  <c r="P10" i="1"/>
  <c r="P11" i="1"/>
  <c r="B5" i="1"/>
  <c r="D5" i="1"/>
  <c r="E5" i="1"/>
  <c r="P5" i="1"/>
  <c r="O6" i="1"/>
  <c r="O7" i="1"/>
  <c r="O8" i="1"/>
  <c r="O9" i="1"/>
  <c r="O10" i="1"/>
  <c r="O5" i="1"/>
  <c r="N6" i="1"/>
  <c r="N7" i="1"/>
  <c r="N8" i="1"/>
  <c r="N9" i="1"/>
  <c r="N12" i="1"/>
  <c r="N13" i="1"/>
  <c r="N14" i="1"/>
  <c r="N15" i="1"/>
  <c r="N16" i="1"/>
  <c r="N17" i="1"/>
  <c r="N5" i="1"/>
  <c r="M6" i="1"/>
  <c r="M7" i="1"/>
  <c r="M8" i="1"/>
  <c r="M11" i="1"/>
  <c r="M12" i="1"/>
  <c r="M13" i="1"/>
  <c r="M14" i="1"/>
  <c r="M15" i="1"/>
  <c r="M16" i="1"/>
  <c r="M17" i="1"/>
  <c r="M5" i="1"/>
  <c r="L6" i="1"/>
  <c r="L7" i="1"/>
  <c r="L10" i="1"/>
  <c r="L11" i="1"/>
  <c r="L12" i="1"/>
  <c r="L13" i="1"/>
  <c r="L14" i="1"/>
  <c r="L15" i="1"/>
  <c r="L16" i="1"/>
  <c r="L17" i="1"/>
  <c r="L5" i="1"/>
  <c r="K6" i="1"/>
  <c r="K9" i="1"/>
  <c r="K10" i="1"/>
  <c r="K11" i="1"/>
  <c r="K12" i="1"/>
  <c r="K13" i="1"/>
  <c r="K14" i="1"/>
  <c r="K15" i="1"/>
  <c r="K16" i="1"/>
  <c r="K17" i="1"/>
  <c r="K5" i="1"/>
  <c r="J6" i="1"/>
  <c r="J8" i="1"/>
  <c r="J9" i="1"/>
  <c r="J10" i="1"/>
  <c r="J11" i="1"/>
  <c r="J12" i="1"/>
  <c r="J13" i="1"/>
  <c r="J14" i="1"/>
  <c r="J15" i="1"/>
  <c r="J16" i="1"/>
  <c r="J17" i="1"/>
  <c r="J5" i="1"/>
  <c r="I6" i="1"/>
  <c r="I7" i="1"/>
  <c r="I8" i="1"/>
  <c r="I9" i="1"/>
  <c r="I10" i="1"/>
  <c r="I11" i="1"/>
  <c r="I12" i="1"/>
  <c r="I13" i="1"/>
  <c r="I14" i="1"/>
  <c r="I15" i="1"/>
  <c r="I16" i="1"/>
  <c r="I17" i="1"/>
  <c r="I5" i="1"/>
  <c r="H6" i="1"/>
  <c r="H7" i="1"/>
  <c r="H8" i="1"/>
  <c r="H9" i="1"/>
  <c r="H10" i="1"/>
  <c r="H11" i="1"/>
  <c r="H12" i="1"/>
  <c r="H13" i="1"/>
  <c r="H14" i="1"/>
  <c r="H15" i="1"/>
  <c r="H16" i="1"/>
  <c r="H17" i="1"/>
  <c r="H5" i="1"/>
  <c r="G6" i="1"/>
  <c r="G5" i="1"/>
</calcChain>
</file>

<file path=xl/sharedStrings.xml><?xml version="1.0" encoding="utf-8"?>
<sst xmlns="http://schemas.openxmlformats.org/spreadsheetml/2006/main" count="114" uniqueCount="49">
  <si>
    <t>CO2</t>
    <phoneticPr fontId="1" type="noConversion"/>
  </si>
  <si>
    <t>H2O</t>
    <phoneticPr fontId="1" type="noConversion"/>
  </si>
  <si>
    <t>O2</t>
    <phoneticPr fontId="1" type="noConversion"/>
  </si>
  <si>
    <t>N2</t>
    <phoneticPr fontId="1" type="noConversion"/>
  </si>
  <si>
    <t>φC8H18+12.5(O2+3.76N2 )→8φCO2+9φH2O+n3O2+47N2</t>
    <phoneticPr fontId="1" type="noConversion"/>
  </si>
  <si>
    <t>n3 = (25-16φ-9φ)/2 = 12.5(1-φ)</t>
    <phoneticPr fontId="1" type="noConversion"/>
  </si>
  <si>
    <t>φ</t>
  </si>
  <si>
    <t>φ</t>
    <phoneticPr fontId="1" type="noConversion"/>
  </si>
  <si>
    <t>1600K</t>
    <phoneticPr fontId="1" type="noConversion"/>
  </si>
  <si>
    <t>1700K</t>
    <phoneticPr fontId="1" type="noConversion"/>
  </si>
  <si>
    <t>1800K</t>
    <phoneticPr fontId="1" type="noConversion"/>
  </si>
  <si>
    <t>1900K</t>
    <phoneticPr fontId="1" type="noConversion"/>
  </si>
  <si>
    <t>2000K</t>
    <phoneticPr fontId="1" type="noConversion"/>
  </si>
  <si>
    <t>2100K</t>
    <phoneticPr fontId="1" type="noConversion"/>
  </si>
  <si>
    <t>2200K</t>
    <phoneticPr fontId="1" type="noConversion"/>
  </si>
  <si>
    <t>2300K</t>
    <phoneticPr fontId="1" type="noConversion"/>
  </si>
  <si>
    <t>2400K</t>
    <phoneticPr fontId="1" type="noConversion"/>
  </si>
  <si>
    <t>Flame Tem/K</t>
  </si>
  <si>
    <t>Flame Tem/K</t>
    <phoneticPr fontId="1" type="noConversion"/>
  </si>
  <si>
    <t>8φ</t>
    <phoneticPr fontId="1" type="noConversion"/>
  </si>
  <si>
    <t>9φ</t>
    <phoneticPr fontId="1" type="noConversion"/>
  </si>
  <si>
    <t>12.5(1-φ)</t>
    <phoneticPr fontId="1" type="noConversion"/>
  </si>
  <si>
    <t>MJ</t>
    <phoneticPr fontId="1" type="noConversion"/>
  </si>
  <si>
    <t>Enthalpy</t>
    <phoneticPr fontId="1" type="noConversion"/>
  </si>
  <si>
    <t>alpha</t>
    <phoneticPr fontId="1" type="noConversion"/>
  </si>
  <si>
    <t>[O2]</t>
    <phoneticPr fontId="1" type="noConversion"/>
  </si>
  <si>
    <t>[N2]</t>
    <phoneticPr fontId="1" type="noConversion"/>
  </si>
  <si>
    <t>Crankshaft angle</t>
    <phoneticPr fontId="1" type="noConversion"/>
  </si>
  <si>
    <t>P</t>
    <phoneticPr fontId="1" type="noConversion"/>
  </si>
  <si>
    <t>Tem</t>
    <phoneticPr fontId="1" type="noConversion"/>
  </si>
  <si>
    <t>Temp(K)</t>
    <phoneticPr fontId="1" type="noConversion"/>
  </si>
  <si>
    <t>Tem(K)</t>
    <phoneticPr fontId="1" type="noConversion"/>
  </si>
  <si>
    <t>Total exhuast kmols</t>
    <phoneticPr fontId="1" type="noConversion"/>
  </si>
  <si>
    <t>kmols/cycle</t>
    <phoneticPr fontId="1" type="noConversion"/>
  </si>
  <si>
    <t>EGR</t>
    <phoneticPr fontId="1" type="noConversion"/>
  </si>
  <si>
    <t>kmol/cycle</t>
    <phoneticPr fontId="1" type="noConversion"/>
  </si>
  <si>
    <t>Nox/degree</t>
    <phoneticPr fontId="1" type="noConversion"/>
  </si>
  <si>
    <t>total exhaust kmols</t>
    <phoneticPr fontId="1" type="noConversion"/>
  </si>
  <si>
    <t>PPM</t>
    <phoneticPr fontId="1" type="noConversion"/>
  </si>
  <si>
    <t>EGR level</t>
    <phoneticPr fontId="1" type="noConversion"/>
  </si>
  <si>
    <t>PPM(φ=0.97)</t>
    <phoneticPr fontId="1" type="noConversion"/>
  </si>
  <si>
    <t>CxHyOz+a(02+3.76N2) → xCO2+(y/2)H20+3.76aN2</t>
    <phoneticPr fontId="1" type="noConversion"/>
  </si>
  <si>
    <t>a=x+(y/4)-z</t>
    <phoneticPr fontId="1" type="noConversion"/>
  </si>
  <si>
    <t>Carbon(x)</t>
    <phoneticPr fontId="1" type="noConversion"/>
  </si>
  <si>
    <t>a</t>
    <phoneticPr fontId="1" type="noConversion"/>
  </si>
  <si>
    <t>Hydrogen(y)</t>
    <phoneticPr fontId="1" type="noConversion"/>
  </si>
  <si>
    <t>Oxygen(z)</t>
    <phoneticPr fontId="1" type="noConversion"/>
  </si>
  <si>
    <t>H20</t>
    <phoneticPr fontId="1" type="noConversion"/>
  </si>
  <si>
    <t>a=x+(y/4)-z/2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</si>
</sst>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DengXian"/>
      <family val="2"/>
      <charset val="134"/>
      <scheme val="minor"/>
    </font>
    <font>
      <sz val="9"/>
      <name val="DengXian"/>
      <family val="2"/>
      <charset val="134"/>
      <scheme val="minor"/>
    </font>
    <font>
      <sz val="12"/>
      <color theme="1"/>
      <name val="Times New Roman"/>
      <family val="1"/>
    </font>
    <font>
      <u/>
      <sz val="12"/>
      <color theme="10"/>
      <name val="DengXian"/>
      <family val="2"/>
      <charset val="134"/>
      <scheme val="minor"/>
    </font>
    <font>
      <u/>
      <sz val="12"/>
      <color theme="11"/>
      <name val="DengXian"/>
      <family val="2"/>
      <charset val="134"/>
      <scheme val="minor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2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9" fontId="2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9" fontId="2" fillId="0" borderId="0" xfId="0" applyNumberFormat="1" applyFont="1" applyAlignment="1">
      <alignment horizontal="center"/>
    </xf>
  </cellXfs>
  <cellStyles count="17">
    <cellStyle name="常规" xfId="0" builtinId="0"/>
    <cellStyle name="超链接" xfId="1" builtinId="8" hidden="1"/>
    <cellStyle name="超链接" xfId="3" builtinId="8" hidden="1"/>
    <cellStyle name="超链接" xfId="5" builtinId="8" hidden="1"/>
    <cellStyle name="超链接" xfId="7" builtinId="8" hidden="1"/>
    <cellStyle name="超链接" xfId="9" builtinId="8" hidden="1"/>
    <cellStyle name="超链接" xfId="11" builtinId="8" hidden="1"/>
    <cellStyle name="超链接" xfId="13" builtinId="8" hidden="1"/>
    <cellStyle name="超链接" xfId="15" builtinId="8" hidden="1"/>
    <cellStyle name="已访问的超链接" xfId="2" builtinId="9" hidden="1"/>
    <cellStyle name="已访问的超链接" xfId="4" builtinId="9" hidden="1"/>
    <cellStyle name="已访问的超链接" xfId="6" builtinId="9" hidden="1"/>
    <cellStyle name="已访问的超链接" xfId="8" builtinId="9" hidden="1"/>
    <cellStyle name="已访问的超链接" xfId="10" builtinId="9" hidden="1"/>
    <cellStyle name="已访问的超链接" xfId="12" builtinId="9" hidden="1"/>
    <cellStyle name="已访问的超链接" xfId="14" builtinId="9" hidden="1"/>
    <cellStyle name="已访问的超链接" xfId="16" builtinId="9" hidden="1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_rels/chart1.xml.rels><?xml version="1.0" encoding="UTF-8" standalone="yes"?>
<Relationships xmlns="http://schemas.openxmlformats.org/package/2006/relationships"><Relationship Id="rId1" Type="http://schemas.microsoft.com/office/2011/relationships/chartStyle" Target="style1.xml"/><Relationship Id="rId2" Type="http://schemas.microsoft.com/office/2011/relationships/chartColorStyle" Target="colors1.xml"/></Relationships>
</file>

<file path=xl/charts/_rels/chart2.xml.rels><?xml version="1.0" encoding="UTF-8" standalone="yes"?>
<Relationships xmlns="http://schemas.openxmlformats.org/package/2006/relationships"><Relationship Id="rId1" Type="http://schemas.microsoft.com/office/2011/relationships/chartStyle" Target="style2.xml"/><Relationship Id="rId2" Type="http://schemas.microsoft.com/office/2011/relationships/chartColorStyle" Target="colors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600">
                <a:latin typeface="Times New Roman" charset="0"/>
                <a:ea typeface="Times New Roman" charset="0"/>
                <a:cs typeface="Times New Roman" charset="0"/>
              </a:rPr>
              <a:t>PPM against fuel equivelance ratio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sheet2!$A$4</c:f>
              <c:strCache>
                <c:ptCount val="1"/>
                <c:pt idx="0">
                  <c:v>PPM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sheet2!$B$3:$N$3</c:f>
              <c:numCache>
                <c:formatCode>General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1.0</c:v>
                </c:pt>
              </c:numCache>
            </c:numRef>
          </c:xVal>
          <c:yVal>
            <c:numRef>
              <c:f>sheet2!$B$4:$N$4</c:f>
              <c:numCache>
                <c:formatCode>General</c:formatCode>
                <c:ptCount val="13"/>
                <c:pt idx="0">
                  <c:v>10.26136388537549</c:v>
                </c:pt>
                <c:pt idx="1">
                  <c:v>54.63206204520134</c:v>
                </c:pt>
                <c:pt idx="2">
                  <c:v>233.6655206064008</c:v>
                </c:pt>
                <c:pt idx="3">
                  <c:v>828.5156513608387</c:v>
                </c:pt>
                <c:pt idx="4">
                  <c:v>2493.461442417202</c:v>
                </c:pt>
                <c:pt idx="5">
                  <c:v>6419.768214151005</c:v>
                </c:pt>
                <c:pt idx="6">
                  <c:v>14035.74907102746</c:v>
                </c:pt>
                <c:pt idx="7">
                  <c:v>24330.15718734857</c:v>
                </c:pt>
                <c:pt idx="8">
                  <c:v>25769.83819090783</c:v>
                </c:pt>
                <c:pt idx="9">
                  <c:v>26351.37968323842</c:v>
                </c:pt>
                <c:pt idx="10">
                  <c:v>25333.18193957323</c:v>
                </c:pt>
                <c:pt idx="11">
                  <c:v>21033.84322661327</c:v>
                </c:pt>
                <c:pt idx="12">
                  <c:v>0.0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12459776"/>
        <c:axId val="2023150000"/>
      </c:scatterChart>
      <c:valAx>
        <c:axId val="1912459776"/>
        <c:scaling>
          <c:orientation val="minMax"/>
          <c:min val="0.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="1">
                    <a:latin typeface="Times New Roman" charset="0"/>
                    <a:ea typeface="Times New Roman" charset="0"/>
                    <a:cs typeface="Times New Roman" charset="0"/>
                  </a:rPr>
                  <a:t>Fuel</a:t>
                </a:r>
                <a:r>
                  <a:rPr lang="zh-CN" b="1">
                    <a:latin typeface="Times New Roman" charset="0"/>
                    <a:ea typeface="Times New Roman" charset="0"/>
                    <a:cs typeface="Times New Roman" charset="0"/>
                  </a:rPr>
                  <a:t> </a:t>
                </a:r>
                <a:r>
                  <a:rPr lang="en-US" b="1">
                    <a:latin typeface="Times New Roman" charset="0"/>
                    <a:ea typeface="Times New Roman" charset="0"/>
                    <a:cs typeface="Times New Roman" charset="0"/>
                  </a:rPr>
                  <a:t>Equivalence</a:t>
                </a:r>
                <a:r>
                  <a:rPr lang="zh-CN" b="1">
                    <a:latin typeface="Times New Roman" charset="0"/>
                    <a:ea typeface="Times New Roman" charset="0"/>
                    <a:cs typeface="Times New Roman" charset="0"/>
                  </a:rPr>
                  <a:t> </a:t>
                </a:r>
                <a:r>
                  <a:rPr lang="en-US" b="1">
                    <a:latin typeface="Times New Roman" charset="0"/>
                    <a:ea typeface="Times New Roman" charset="0"/>
                    <a:cs typeface="Times New Roman" charset="0"/>
                  </a:rPr>
                  <a:t>Ratio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2023150000"/>
        <c:crosses val="autoZero"/>
        <c:crossBetween val="midCat"/>
      </c:valAx>
      <c:valAx>
        <c:axId val="2023150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charset="0"/>
                    <a:ea typeface="Times New Roman" charset="0"/>
                    <a:cs typeface="Times New Roman" charset="0"/>
                  </a:defRPr>
                </a:pPr>
                <a:r>
                  <a:rPr lang="en-US" altLang="zh-CN" b="1">
                    <a:latin typeface="Times New Roman" charset="0"/>
                    <a:ea typeface="Times New Roman" charset="0"/>
                    <a:cs typeface="Times New Roman" charset="0"/>
                  </a:rPr>
                  <a:t>NOx</a:t>
                </a:r>
                <a:r>
                  <a:rPr lang="zh-CN" altLang="en-US" b="1" baseline="0">
                    <a:latin typeface="Times New Roman" charset="0"/>
                    <a:ea typeface="Times New Roman" charset="0"/>
                    <a:cs typeface="Times New Roman" charset="0"/>
                  </a:rPr>
                  <a:t> </a:t>
                </a:r>
                <a:r>
                  <a:rPr lang="en-US" altLang="zh-CN" b="1" baseline="0">
                    <a:latin typeface="Times New Roman" charset="0"/>
                    <a:ea typeface="Times New Roman" charset="0"/>
                    <a:cs typeface="Times New Roman" charset="0"/>
                  </a:rPr>
                  <a:t>PPM</a:t>
                </a:r>
                <a:endParaRPr lang="zh-CN" altLang="en-US" b="1">
                  <a:latin typeface="Times New Roman" charset="0"/>
                  <a:ea typeface="Times New Roman" charset="0"/>
                  <a:cs typeface="Times New Roman" charset="0"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charset="0"/>
                  <a:ea typeface="Times New Roman" charset="0"/>
                  <a:cs typeface="Times New Roman" charset="0"/>
                </a:defRPr>
              </a:pPr>
              <a:endParaRPr lang="zh-CN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91245977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59781358725508"/>
          <c:y val="0.883249185326079"/>
          <c:w val="0.121381431972166"/>
          <c:h val="0.064847021164096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Times New Roman" charset="0"/>
              <a:ea typeface="Times New Roman" charset="0"/>
              <a:cs typeface="Times New Roman" charset="0"/>
            </a:defRPr>
          </a:pPr>
          <a:endParaRPr lang="zh-CN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charset="0"/>
                <a:ea typeface="Times New Roman" charset="0"/>
                <a:cs typeface="Times New Roman" charset="0"/>
              </a:defRPr>
            </a:pPr>
            <a:r>
              <a:rPr lang="en-US" altLang="zh-CN">
                <a:latin typeface="Times New Roman" charset="0"/>
                <a:ea typeface="Times New Roman" charset="0"/>
                <a:cs typeface="Times New Roman" charset="0"/>
              </a:rPr>
              <a:t>NOx</a:t>
            </a:r>
            <a:r>
              <a:rPr lang="zh-CN" altLang="en-US">
                <a:latin typeface="Times New Roman" charset="0"/>
                <a:ea typeface="Times New Roman" charset="0"/>
                <a:cs typeface="Times New Roman" charset="0"/>
              </a:rPr>
              <a:t> </a:t>
            </a:r>
            <a:r>
              <a:rPr lang="mr-IN" altLang="zh-CN">
                <a:latin typeface="Times New Roman" charset="0"/>
                <a:ea typeface="Times New Roman" charset="0"/>
                <a:cs typeface="Times New Roman" charset="0"/>
              </a:rPr>
              <a:t>PPM(φ=0.97)</a:t>
            </a:r>
            <a:r>
              <a:rPr lang="zh-CN" altLang="en-US">
                <a:latin typeface="Times New Roman" charset="0"/>
                <a:ea typeface="Times New Roman" charset="0"/>
                <a:cs typeface="Times New Roman" charset="0"/>
              </a:rPr>
              <a:t> </a:t>
            </a:r>
            <a:r>
              <a:rPr lang="en-US" altLang="zh-CN">
                <a:latin typeface="Times New Roman" charset="0"/>
                <a:ea typeface="Times New Roman" charset="0"/>
                <a:cs typeface="Times New Roman" charset="0"/>
              </a:rPr>
              <a:t>against</a:t>
            </a:r>
            <a:r>
              <a:rPr lang="zh-CN" altLang="en-US">
                <a:latin typeface="Times New Roman" charset="0"/>
                <a:ea typeface="Times New Roman" charset="0"/>
                <a:cs typeface="Times New Roman" charset="0"/>
              </a:rPr>
              <a:t> </a:t>
            </a:r>
            <a:r>
              <a:rPr lang="en-US" altLang="zh-CN">
                <a:latin typeface="Times New Roman" charset="0"/>
                <a:ea typeface="Times New Roman" charset="0"/>
                <a:cs typeface="Times New Roman" charset="0"/>
              </a:rPr>
              <a:t>EGR</a:t>
            </a:r>
            <a:r>
              <a:rPr lang="zh-CN" altLang="en-US">
                <a:latin typeface="Times New Roman" charset="0"/>
                <a:ea typeface="Times New Roman" charset="0"/>
                <a:cs typeface="Times New Roman" charset="0"/>
              </a:rPr>
              <a:t> </a:t>
            </a:r>
            <a:r>
              <a:rPr lang="en-US" altLang="zh-CN">
                <a:latin typeface="Times New Roman" charset="0"/>
                <a:ea typeface="Times New Roman" charset="0"/>
                <a:cs typeface="Times New Roman" charset="0"/>
              </a:rPr>
              <a:t>Level</a:t>
            </a:r>
            <a:endParaRPr lang="mr-IN" altLang="zh-CN">
              <a:latin typeface="Times New Roman" charset="0"/>
              <a:ea typeface="Times New Roman" charset="0"/>
              <a:cs typeface="Times New Roman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charset="0"/>
              <a:ea typeface="Times New Roman" charset="0"/>
              <a:cs typeface="Times New Roman" charset="0"/>
            </a:defRPr>
          </a:pPr>
          <a:endParaRPr lang="zh-CN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sheet3!$A$50</c:f>
              <c:strCache>
                <c:ptCount val="1"/>
                <c:pt idx="0">
                  <c:v>PPM(φ=0.97)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sheet3!$B$49:$F$49</c:f>
              <c:numCache>
                <c:formatCode>0%</c:formatCode>
                <c:ptCount val="5"/>
                <c:pt idx="0" formatCode="General">
                  <c:v>0.0</c:v>
                </c:pt>
                <c:pt idx="1">
                  <c:v>0.05</c:v>
                </c:pt>
                <c:pt idx="2">
                  <c:v>0.1</c:v>
                </c:pt>
                <c:pt idx="3">
                  <c:v>0.15</c:v>
                </c:pt>
                <c:pt idx="4">
                  <c:v>0.2</c:v>
                </c:pt>
              </c:numCache>
            </c:numRef>
          </c:xVal>
          <c:yVal>
            <c:numRef>
              <c:f>sheet3!$B$50:$F$50</c:f>
              <c:numCache>
                <c:formatCode>General</c:formatCode>
                <c:ptCount val="5"/>
                <c:pt idx="0">
                  <c:v>26351.33486</c:v>
                </c:pt>
                <c:pt idx="1">
                  <c:v>10458.16916</c:v>
                </c:pt>
                <c:pt idx="2">
                  <c:v>4218.938849</c:v>
                </c:pt>
                <c:pt idx="3">
                  <c:v>1729.616521</c:v>
                </c:pt>
                <c:pt idx="4">
                  <c:v>716.8141755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22990208"/>
        <c:axId val="1912459104"/>
      </c:scatterChart>
      <c:valAx>
        <c:axId val="20229902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charset="0"/>
                    <a:ea typeface="Times New Roman" charset="0"/>
                    <a:cs typeface="Times New Roman" charset="0"/>
                  </a:defRPr>
                </a:pPr>
                <a:r>
                  <a:rPr lang="en-US" altLang="zh-CN">
                    <a:latin typeface="Times New Roman" charset="0"/>
                    <a:ea typeface="Times New Roman" charset="0"/>
                    <a:cs typeface="Times New Roman" charset="0"/>
                  </a:rPr>
                  <a:t>EGR</a:t>
                </a:r>
                <a:r>
                  <a:rPr lang="zh-CN" altLang="en-US" baseline="0">
                    <a:latin typeface="Times New Roman" charset="0"/>
                    <a:ea typeface="Times New Roman" charset="0"/>
                    <a:cs typeface="Times New Roman" charset="0"/>
                  </a:rPr>
                  <a:t> </a:t>
                </a:r>
                <a:r>
                  <a:rPr lang="en-US" altLang="zh-CN" baseline="0">
                    <a:latin typeface="Times New Roman" charset="0"/>
                    <a:ea typeface="Times New Roman" charset="0"/>
                    <a:cs typeface="Times New Roman" charset="0"/>
                  </a:rPr>
                  <a:t>Level</a:t>
                </a:r>
                <a:endParaRPr lang="zh-CN" altLang="en-US">
                  <a:latin typeface="Times New Roman" charset="0"/>
                  <a:ea typeface="Times New Roman" charset="0"/>
                  <a:cs typeface="Times New Roman" charset="0"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charset="0"/>
                  <a:ea typeface="Times New Roman" charset="0"/>
                  <a:cs typeface="Times New Roman" charset="0"/>
                </a:defRPr>
              </a:pPr>
              <a:endParaRPr lang="zh-CN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912459104"/>
        <c:crosses val="autoZero"/>
        <c:crossBetween val="midCat"/>
      </c:valAx>
      <c:valAx>
        <c:axId val="1912459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charset="0"/>
                    <a:ea typeface="Times New Roman" charset="0"/>
                    <a:cs typeface="Times New Roman" charset="0"/>
                  </a:defRPr>
                </a:pPr>
                <a:r>
                  <a:rPr lang="en-US" altLang="zh-CN">
                    <a:latin typeface="Times New Roman" charset="0"/>
                    <a:ea typeface="Times New Roman" charset="0"/>
                    <a:cs typeface="Times New Roman" charset="0"/>
                  </a:rPr>
                  <a:t>NOx</a:t>
                </a:r>
                <a:r>
                  <a:rPr lang="zh-CN" altLang="en-US" baseline="0">
                    <a:latin typeface="Times New Roman" charset="0"/>
                    <a:ea typeface="Times New Roman" charset="0"/>
                    <a:cs typeface="Times New Roman" charset="0"/>
                  </a:rPr>
                  <a:t> </a:t>
                </a:r>
                <a:r>
                  <a:rPr lang="en-US" altLang="zh-CN" baseline="0">
                    <a:latin typeface="Times New Roman" charset="0"/>
                    <a:ea typeface="Times New Roman" charset="0"/>
                    <a:cs typeface="Times New Roman" charset="0"/>
                  </a:rPr>
                  <a:t>PPM</a:t>
                </a:r>
                <a:endParaRPr lang="zh-CN" altLang="en-US">
                  <a:latin typeface="Times New Roman" charset="0"/>
                  <a:ea typeface="Times New Roman" charset="0"/>
                  <a:cs typeface="Times New Roman" charset="0"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charset="0"/>
                  <a:ea typeface="Times New Roman" charset="0"/>
                  <a:cs typeface="Times New Roman" charset="0"/>
                </a:defRPr>
              </a:pPr>
              <a:endParaRPr lang="zh-CN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20229902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482600</xdr:colOff>
      <xdr:row>6</xdr:row>
      <xdr:rowOff>69850</xdr:rowOff>
    </xdr:from>
    <xdr:to>
      <xdr:col>4</xdr:col>
      <xdr:colOff>723900</xdr:colOff>
      <xdr:row>23</xdr:row>
      <xdr:rowOff>114300</xdr:rowOff>
    </xdr:to>
    <xdr:graphicFrame macro="">
      <xdr:nvGraphicFramePr>
        <xdr:cNvPr id="3" name="图表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50800</xdr:colOff>
      <xdr:row>48</xdr:row>
      <xdr:rowOff>101600</xdr:rowOff>
    </xdr:from>
    <xdr:to>
      <xdr:col>11</xdr:col>
      <xdr:colOff>63500</xdr:colOff>
      <xdr:row>62</xdr:row>
      <xdr:rowOff>0</xdr:rowOff>
    </xdr:to>
    <xdr:graphicFrame macro="">
      <xdr:nvGraphicFramePr>
        <xdr:cNvPr id="3" name="图表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DengXian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DengXian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2"/>
  <sheetViews>
    <sheetView tabSelected="1" workbookViewId="0">
      <selection activeCell="D54" sqref="D54"/>
    </sheetView>
  </sheetViews>
  <sheetFormatPr baseColWidth="10" defaultRowHeight="16" x14ac:dyDescent="0.2"/>
  <cols>
    <col min="1" max="1" width="17.83203125" customWidth="1"/>
    <col min="3" max="3" width="10.83203125" style="3"/>
    <col min="4" max="4" width="10.5" style="3" customWidth="1"/>
    <col min="5" max="5" width="10.83203125" style="3"/>
    <col min="6" max="6" width="14.1640625" style="3" bestFit="1" customWidth="1"/>
    <col min="7" max="7" width="14.1640625" style="3" customWidth="1"/>
    <col min="8" max="8" width="14.1640625" style="2" bestFit="1" customWidth="1"/>
    <col min="9" max="9" width="10.83203125" style="2"/>
    <col min="10" max="10" width="14.1640625" style="2" bestFit="1" customWidth="1"/>
    <col min="11" max="11" width="13.33203125" style="2" customWidth="1"/>
    <col min="12" max="14" width="14.1640625" style="2" bestFit="1" customWidth="1"/>
    <col min="15" max="15" width="10.83203125" style="2"/>
    <col min="16" max="16" width="14.1640625" style="2" bestFit="1" customWidth="1"/>
    <col min="17" max="17" width="12.5" style="2" customWidth="1"/>
    <col min="18" max="19" width="12.6640625" bestFit="1" customWidth="1"/>
    <col min="20" max="20" width="13.1640625" bestFit="1" customWidth="1"/>
    <col min="22" max="22" width="13.1640625" bestFit="1" customWidth="1"/>
    <col min="24" max="24" width="13.1640625" bestFit="1" customWidth="1"/>
    <col min="26" max="26" width="11.33203125" bestFit="1" customWidth="1"/>
  </cols>
  <sheetData>
    <row r="1" spans="1:17" x14ac:dyDescent="0.2">
      <c r="A1" s="9" t="s">
        <v>4</v>
      </c>
      <c r="B1" s="9"/>
      <c r="C1" s="9"/>
      <c r="D1" s="9"/>
      <c r="E1" s="9"/>
      <c r="F1" s="9"/>
      <c r="G1" s="9"/>
    </row>
    <row r="2" spans="1:17" x14ac:dyDescent="0.2">
      <c r="A2" s="9" t="s">
        <v>5</v>
      </c>
      <c r="B2" s="9"/>
      <c r="C2" s="9"/>
      <c r="D2" s="9"/>
      <c r="E2" s="9"/>
      <c r="F2" s="9"/>
      <c r="G2" s="9"/>
    </row>
    <row r="3" spans="1:17" x14ac:dyDescent="0.2">
      <c r="A3" s="2" t="s">
        <v>7</v>
      </c>
      <c r="B3" s="9" t="s">
        <v>0</v>
      </c>
      <c r="C3" s="9"/>
      <c r="D3" s="2" t="s">
        <v>1</v>
      </c>
      <c r="E3" s="2" t="s">
        <v>2</v>
      </c>
      <c r="F3" s="2" t="s">
        <v>3</v>
      </c>
      <c r="G3" s="2" t="s">
        <v>23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2" t="s">
        <v>15</v>
      </c>
      <c r="P3" s="2" t="s">
        <v>16</v>
      </c>
      <c r="Q3" s="2" t="s">
        <v>18</v>
      </c>
    </row>
    <row r="4" spans="1:17" x14ac:dyDescent="0.2">
      <c r="A4" s="2"/>
      <c r="B4" s="9" t="s">
        <v>19</v>
      </c>
      <c r="C4" s="9"/>
      <c r="D4" s="2" t="s">
        <v>20</v>
      </c>
      <c r="E4" s="2" t="s">
        <v>21</v>
      </c>
      <c r="F4" s="2">
        <v>47</v>
      </c>
      <c r="G4" s="2" t="s">
        <v>22</v>
      </c>
      <c r="H4" s="2">
        <v>1600</v>
      </c>
      <c r="I4" s="2">
        <v>1700</v>
      </c>
      <c r="J4" s="2">
        <v>1800</v>
      </c>
      <c r="K4" s="2">
        <v>1900</v>
      </c>
      <c r="L4" s="2">
        <v>2000</v>
      </c>
      <c r="M4" s="2">
        <v>2100</v>
      </c>
      <c r="N4" s="2">
        <v>2200</v>
      </c>
      <c r="O4" s="2">
        <v>2300</v>
      </c>
      <c r="P4" s="2">
        <v>2400</v>
      </c>
    </row>
    <row r="5" spans="1:17" x14ac:dyDescent="0.2">
      <c r="A5" s="2">
        <v>0.6</v>
      </c>
      <c r="B5" s="9">
        <f>8*A5</f>
        <v>4.8</v>
      </c>
      <c r="C5" s="9"/>
      <c r="D5" s="2">
        <f>9*A5</f>
        <v>5.3999999999999995</v>
      </c>
      <c r="E5" s="2">
        <f>12.5-12.5*A5</f>
        <v>5</v>
      </c>
      <c r="F5" s="2">
        <v>47</v>
      </c>
      <c r="G5" s="2">
        <f>B5*393.5+D5*241.8-A5*259.2</f>
        <v>3039</v>
      </c>
      <c r="H5" s="4">
        <f>67.54*B5+52.94*D5+44.25*E5+41.9*F5</f>
        <v>2800.6179999999999</v>
      </c>
      <c r="I5" s="4">
        <f>73.44*B5+57.78*D5+47.94*E5+45.42*F5</f>
        <v>3038.9639999999999</v>
      </c>
      <c r="J5" s="2">
        <f>79.4*B5+62.71*D5+51.66*E5+48.97*F5</f>
        <v>3279.6440000000002</v>
      </c>
      <c r="K5" s="2">
        <f>85.39*B5+67.72*D5+55.4*E5+52.54*F5</f>
        <v>3521.94</v>
      </c>
      <c r="L5" s="2">
        <f>91.42*B5+72.8*D5+59.17*E5+56.13*F5</f>
        <v>3765.8960000000002</v>
      </c>
      <c r="M5" s="2">
        <f>97.47*B5+77.95*D5+62.96*E5+59.73*F5</f>
        <v>4010.8959999999997</v>
      </c>
      <c r="N5" s="2">
        <f>103.56*B5+83.16*D5+66.77*E5+63.36*F5</f>
        <v>4257.9220000000005</v>
      </c>
      <c r="O5" s="2">
        <f>109.66*B5+88.42*D5+70.61*E5+66.99*F5</f>
        <v>4505.4159999999993</v>
      </c>
      <c r="P5" s="2">
        <f>115.79*B5+93.74*D5+74.46*E5+70.64*F5</f>
        <v>4754.3679999999995</v>
      </c>
      <c r="Q5" s="2">
        <v>1700.0150000000001</v>
      </c>
    </row>
    <row r="6" spans="1:17" x14ac:dyDescent="0.2">
      <c r="A6" s="2">
        <v>0.65</v>
      </c>
      <c r="B6" s="9">
        <f t="shared" ref="B6:B17" si="0">8*A6</f>
        <v>5.2</v>
      </c>
      <c r="C6" s="9"/>
      <c r="D6" s="2">
        <f t="shared" ref="D6:D17" si="1">9*A6</f>
        <v>5.8500000000000005</v>
      </c>
      <c r="E6" s="2">
        <f t="shared" ref="E6:E17" si="2">12.5-12.5*A6</f>
        <v>4.375</v>
      </c>
      <c r="F6" s="2">
        <v>47</v>
      </c>
      <c r="G6" s="2">
        <f t="shared" ref="G6:G17" si="3">B6*393.5+D6*241.8-A6*259.2</f>
        <v>3292.2500000000005</v>
      </c>
      <c r="H6" s="2">
        <f t="shared" ref="H6:H17" si="4">67.54*B6+52.94*D6+44.25*E6+41.9*F6</f>
        <v>2823.8007499999999</v>
      </c>
      <c r="I6" s="4">
        <f t="shared" ref="I6:I17" si="5">73.44*B6+57.78*D6+47.94*E6+45.42*F6</f>
        <v>3064.3785000000003</v>
      </c>
      <c r="J6" s="4">
        <f t="shared" ref="J6:J17" si="6">79.4*B6+62.71*D6+51.66*E6+48.97*F6</f>
        <v>3307.3360000000002</v>
      </c>
      <c r="K6" s="2">
        <f t="shared" ref="K6:K17" si="7">85.39*B6+67.72*D6+55.4*E6+52.54*F6</f>
        <v>3551.9450000000002</v>
      </c>
      <c r="L6" s="2">
        <f t="shared" ref="L6:L17" si="8">91.42*B6+72.8*D6+59.17*E6+56.13*F6</f>
        <v>3798.2427500000003</v>
      </c>
      <c r="M6" s="2">
        <f t="shared" ref="M6:M17" si="9">97.47*B6+77.95*D6+62.96*E6+59.73*F6</f>
        <v>4045.6115</v>
      </c>
      <c r="N6" s="2">
        <f t="shared" ref="N6:N17" si="10">103.56*B6+83.16*D6+66.77*E6+63.36*F6</f>
        <v>4295.0367500000002</v>
      </c>
      <c r="O6" s="2">
        <f t="shared" ref="O6:O17" si="11">109.66*B6+88.42*D6+70.61*E6+66.99*F6</f>
        <v>4544.9377500000001</v>
      </c>
      <c r="P6" s="2">
        <f t="shared" ref="P6:P17" si="12">115.79*B6+93.74*D6+74.46*E6+70.64*F6</f>
        <v>4796.3294999999998</v>
      </c>
      <c r="Q6" s="2">
        <v>1793.7909999999999</v>
      </c>
    </row>
    <row r="7" spans="1:17" x14ac:dyDescent="0.2">
      <c r="A7" s="2">
        <v>0.7</v>
      </c>
      <c r="B7" s="9">
        <f t="shared" si="0"/>
        <v>5.6</v>
      </c>
      <c r="C7" s="9"/>
      <c r="D7" s="2">
        <f t="shared" si="1"/>
        <v>6.3</v>
      </c>
      <c r="E7" s="2">
        <f t="shared" si="2"/>
        <v>3.75</v>
      </c>
      <c r="F7" s="2">
        <v>47</v>
      </c>
      <c r="G7" s="2">
        <f t="shared" si="3"/>
        <v>3545.4999999999995</v>
      </c>
      <c r="H7" s="2">
        <f t="shared" si="4"/>
        <v>2846.9834999999998</v>
      </c>
      <c r="I7" s="2">
        <f t="shared" si="5"/>
        <v>3089.7930000000001</v>
      </c>
      <c r="J7" s="4">
        <f t="shared" si="6"/>
        <v>3335.0280000000002</v>
      </c>
      <c r="K7" s="4">
        <f t="shared" si="7"/>
        <v>3581.95</v>
      </c>
      <c r="L7" s="2">
        <f t="shared" si="8"/>
        <v>3830.5895</v>
      </c>
      <c r="M7" s="2">
        <f t="shared" si="9"/>
        <v>4080.3269999999998</v>
      </c>
      <c r="N7" s="2">
        <f t="shared" si="10"/>
        <v>4332.1514999999999</v>
      </c>
      <c r="O7" s="2">
        <f t="shared" si="11"/>
        <v>4584.459499999999</v>
      </c>
      <c r="P7" s="2">
        <f t="shared" si="12"/>
        <v>4838.2909999999993</v>
      </c>
      <c r="Q7" s="2">
        <f>(G7-J7)*100/(K7-J7)+1800</f>
        <v>1885.2382533755597</v>
      </c>
    </row>
    <row r="8" spans="1:17" x14ac:dyDescent="0.2">
      <c r="A8" s="2">
        <v>0.75</v>
      </c>
      <c r="B8" s="9">
        <f t="shared" si="0"/>
        <v>6</v>
      </c>
      <c r="C8" s="9"/>
      <c r="D8" s="2">
        <f t="shared" si="1"/>
        <v>6.75</v>
      </c>
      <c r="E8" s="2">
        <f t="shared" si="2"/>
        <v>3.125</v>
      </c>
      <c r="F8" s="2">
        <v>47</v>
      </c>
      <c r="G8" s="2">
        <f t="shared" si="3"/>
        <v>3798.75</v>
      </c>
      <c r="H8" s="2">
        <f t="shared" si="4"/>
        <v>2870.1662500000002</v>
      </c>
      <c r="I8" s="2">
        <f t="shared" si="5"/>
        <v>3115.2075000000004</v>
      </c>
      <c r="J8" s="2">
        <f t="shared" si="6"/>
        <v>3362.7200000000003</v>
      </c>
      <c r="K8" s="4">
        <f t="shared" si="7"/>
        <v>3611.9549999999999</v>
      </c>
      <c r="L8" s="4">
        <f t="shared" si="8"/>
        <v>3862.9362500000002</v>
      </c>
      <c r="M8" s="2">
        <f t="shared" si="9"/>
        <v>4115.0424999999996</v>
      </c>
      <c r="N8" s="2">
        <f t="shared" si="10"/>
        <v>4369.2662500000006</v>
      </c>
      <c r="O8" s="2">
        <f t="shared" si="11"/>
        <v>4623.9812499999998</v>
      </c>
      <c r="P8" s="2">
        <f t="shared" si="12"/>
        <v>4880.2525000000005</v>
      </c>
      <c r="Q8" s="2">
        <f>(G8-K8)*100/(L8-K8)+1900</f>
        <v>1974.4258784271733</v>
      </c>
    </row>
    <row r="9" spans="1:17" x14ac:dyDescent="0.2">
      <c r="A9" s="2">
        <v>0.8</v>
      </c>
      <c r="B9" s="9">
        <f t="shared" si="0"/>
        <v>6.4</v>
      </c>
      <c r="C9" s="9"/>
      <c r="D9" s="2">
        <f t="shared" si="1"/>
        <v>7.2</v>
      </c>
      <c r="E9" s="2">
        <f t="shared" si="2"/>
        <v>2.5</v>
      </c>
      <c r="F9" s="2">
        <v>47</v>
      </c>
      <c r="G9" s="2">
        <f t="shared" si="3"/>
        <v>4052.0000000000005</v>
      </c>
      <c r="H9" s="2">
        <f t="shared" si="4"/>
        <v>2893.3490000000002</v>
      </c>
      <c r="I9" s="2">
        <f t="shared" si="5"/>
        <v>3140.6220000000003</v>
      </c>
      <c r="J9" s="2">
        <f t="shared" si="6"/>
        <v>3390.4120000000003</v>
      </c>
      <c r="K9" s="2">
        <f t="shared" si="7"/>
        <v>3641.96</v>
      </c>
      <c r="L9" s="4">
        <f t="shared" si="8"/>
        <v>3895.2830000000004</v>
      </c>
      <c r="M9" s="4">
        <f t="shared" si="9"/>
        <v>4149.7579999999998</v>
      </c>
      <c r="N9" s="2">
        <f t="shared" si="10"/>
        <v>4406.3810000000003</v>
      </c>
      <c r="O9" s="2">
        <f t="shared" si="11"/>
        <v>4663.5029999999997</v>
      </c>
      <c r="P9" s="2">
        <f t="shared" si="12"/>
        <v>4922.2139999999999</v>
      </c>
      <c r="Q9" s="2">
        <f>(G9-L9)*100/(M9-L9)+2000</f>
        <v>2061.5844385499558</v>
      </c>
    </row>
    <row r="10" spans="1:17" x14ac:dyDescent="0.2">
      <c r="A10" s="2">
        <v>0.85</v>
      </c>
      <c r="B10" s="9">
        <f t="shared" si="0"/>
        <v>6.8</v>
      </c>
      <c r="C10" s="9"/>
      <c r="D10" s="2">
        <f t="shared" si="1"/>
        <v>7.6499999999999995</v>
      </c>
      <c r="E10" s="2">
        <f t="shared" si="2"/>
        <v>1.875</v>
      </c>
      <c r="F10" s="2">
        <v>47</v>
      </c>
      <c r="G10" s="2">
        <f t="shared" si="3"/>
        <v>4305.25</v>
      </c>
      <c r="H10" s="2">
        <f t="shared" si="4"/>
        <v>2916.5317500000001</v>
      </c>
      <c r="I10" s="2">
        <f t="shared" si="5"/>
        <v>3166.0365000000002</v>
      </c>
      <c r="J10" s="2">
        <f t="shared" si="6"/>
        <v>3418.1040000000003</v>
      </c>
      <c r="K10" s="2">
        <f t="shared" si="7"/>
        <v>3671.9650000000001</v>
      </c>
      <c r="L10" s="2">
        <f t="shared" si="8"/>
        <v>3927.6297500000001</v>
      </c>
      <c r="M10" s="4">
        <f t="shared" si="9"/>
        <v>4184.4735000000001</v>
      </c>
      <c r="N10" s="4">
        <f t="shared" si="10"/>
        <v>4443.49575</v>
      </c>
      <c r="O10" s="2">
        <f t="shared" si="11"/>
        <v>4703.0247499999996</v>
      </c>
      <c r="P10" s="2">
        <f t="shared" si="12"/>
        <v>4964.1754999999994</v>
      </c>
      <c r="Q10" s="2">
        <f>(G10-M10)*100/(N10-M10)+2100</f>
        <v>2146.6278476076864</v>
      </c>
    </row>
    <row r="11" spans="1:17" x14ac:dyDescent="0.2">
      <c r="A11" s="2">
        <v>0.9</v>
      </c>
      <c r="B11" s="9">
        <f t="shared" si="0"/>
        <v>7.2</v>
      </c>
      <c r="C11" s="9"/>
      <c r="D11" s="2">
        <f t="shared" si="1"/>
        <v>8.1</v>
      </c>
      <c r="E11" s="2">
        <f t="shared" si="2"/>
        <v>1.25</v>
      </c>
      <c r="F11" s="2">
        <v>47</v>
      </c>
      <c r="G11" s="2">
        <f t="shared" si="3"/>
        <v>4558.5000000000009</v>
      </c>
      <c r="H11" s="2">
        <f t="shared" si="4"/>
        <v>2939.7145</v>
      </c>
      <c r="I11" s="2">
        <f t="shared" si="5"/>
        <v>3191.451</v>
      </c>
      <c r="J11" s="2">
        <f t="shared" si="6"/>
        <v>3445.7960000000003</v>
      </c>
      <c r="K11" s="2">
        <f t="shared" si="7"/>
        <v>3701.9700000000003</v>
      </c>
      <c r="L11" s="2">
        <f t="shared" si="8"/>
        <v>3959.9765000000002</v>
      </c>
      <c r="M11" s="2">
        <f t="shared" si="9"/>
        <v>4219.1890000000003</v>
      </c>
      <c r="N11" s="4">
        <f t="shared" si="10"/>
        <v>4480.6105000000007</v>
      </c>
      <c r="O11" s="4">
        <f t="shared" si="11"/>
        <v>4742.5464999999995</v>
      </c>
      <c r="P11" s="2">
        <f t="shared" si="12"/>
        <v>5006.1369999999997</v>
      </c>
      <c r="Q11" s="2">
        <f>(G11-N11)*100/(O11-N11)+2200</f>
        <v>2229.7360805692997</v>
      </c>
    </row>
    <row r="12" spans="1:17" x14ac:dyDescent="0.2">
      <c r="A12" s="2">
        <v>0.95</v>
      </c>
      <c r="B12" s="9">
        <f t="shared" si="0"/>
        <v>7.6</v>
      </c>
      <c r="C12" s="9"/>
      <c r="D12" s="2">
        <f t="shared" si="1"/>
        <v>8.5499999999999989</v>
      </c>
      <c r="E12" s="2">
        <f t="shared" si="2"/>
        <v>0.625</v>
      </c>
      <c r="F12" s="2">
        <v>47</v>
      </c>
      <c r="G12" s="2">
        <f t="shared" si="3"/>
        <v>4811.75</v>
      </c>
      <c r="H12" s="2">
        <f t="shared" si="4"/>
        <v>2962.89725</v>
      </c>
      <c r="I12" s="2">
        <f t="shared" si="5"/>
        <v>3216.8655000000003</v>
      </c>
      <c r="J12" s="2">
        <f t="shared" si="6"/>
        <v>3473.4880000000003</v>
      </c>
      <c r="K12" s="2">
        <f t="shared" si="7"/>
        <v>3731.9749999999999</v>
      </c>
      <c r="L12" s="2">
        <f t="shared" si="8"/>
        <v>3992.3232500000004</v>
      </c>
      <c r="M12" s="2">
        <f t="shared" si="9"/>
        <v>4253.9044999999996</v>
      </c>
      <c r="N12" s="2">
        <f t="shared" si="10"/>
        <v>4517.7252499999995</v>
      </c>
      <c r="O12" s="4">
        <f t="shared" si="11"/>
        <v>4782.0682499999994</v>
      </c>
      <c r="P12" s="4">
        <f t="shared" si="12"/>
        <v>5048.0985000000001</v>
      </c>
      <c r="Q12" s="2">
        <f>(G12-O12)*100/(P12-O12)+2300</f>
        <v>2311.1572838051316</v>
      </c>
    </row>
    <row r="13" spans="1:17" x14ac:dyDescent="0.2">
      <c r="A13" s="2">
        <v>0.96</v>
      </c>
      <c r="B13" s="9">
        <f t="shared" si="0"/>
        <v>7.68</v>
      </c>
      <c r="C13" s="9"/>
      <c r="D13" s="2">
        <f t="shared" si="1"/>
        <v>8.64</v>
      </c>
      <c r="E13" s="2">
        <f t="shared" si="2"/>
        <v>0.5</v>
      </c>
      <c r="F13" s="2">
        <v>47</v>
      </c>
      <c r="G13" s="2">
        <f t="shared" si="3"/>
        <v>4862.3999999999996</v>
      </c>
      <c r="H13" s="2">
        <f t="shared" si="4"/>
        <v>2967.5338000000002</v>
      </c>
      <c r="I13" s="2">
        <f t="shared" si="5"/>
        <v>3221.9484000000002</v>
      </c>
      <c r="J13" s="2">
        <f t="shared" si="6"/>
        <v>3479.0264000000002</v>
      </c>
      <c r="K13" s="2">
        <f t="shared" si="7"/>
        <v>3737.9760000000006</v>
      </c>
      <c r="L13" s="2">
        <f t="shared" si="8"/>
        <v>3998.7926000000002</v>
      </c>
      <c r="M13" s="2">
        <f t="shared" si="9"/>
        <v>4260.8476000000001</v>
      </c>
      <c r="N13" s="2">
        <f t="shared" si="10"/>
        <v>4525.1481999999996</v>
      </c>
      <c r="O13" s="4">
        <f t="shared" si="11"/>
        <v>4789.9726000000001</v>
      </c>
      <c r="P13" s="4">
        <f t="shared" si="12"/>
        <v>5056.4907999999996</v>
      </c>
      <c r="Q13" s="2">
        <f t="shared" ref="Q13:Q16" si="13">(G13-O13)*100/(P13-O13)+2300</f>
        <v>2327.1754049066817</v>
      </c>
    </row>
    <row r="14" spans="1:17" x14ac:dyDescent="0.2">
      <c r="A14" s="2">
        <v>0.97</v>
      </c>
      <c r="B14" s="9">
        <f t="shared" si="0"/>
        <v>7.76</v>
      </c>
      <c r="C14" s="9"/>
      <c r="D14" s="2">
        <f t="shared" si="1"/>
        <v>8.73</v>
      </c>
      <c r="E14" s="2">
        <f t="shared" si="2"/>
        <v>0.375</v>
      </c>
      <c r="F14" s="2">
        <v>47</v>
      </c>
      <c r="G14" s="2">
        <f t="shared" si="3"/>
        <v>4913.05</v>
      </c>
      <c r="H14" s="2">
        <f t="shared" si="4"/>
        <v>2972.1703499999999</v>
      </c>
      <c r="I14" s="2">
        <f t="shared" si="5"/>
        <v>3227.0313000000006</v>
      </c>
      <c r="J14" s="2">
        <f t="shared" si="6"/>
        <v>3484.5648000000001</v>
      </c>
      <c r="K14" s="2">
        <f t="shared" si="7"/>
        <v>3743.9770000000003</v>
      </c>
      <c r="L14" s="2">
        <f t="shared" si="8"/>
        <v>4005.2619500000001</v>
      </c>
      <c r="M14" s="2">
        <f t="shared" si="9"/>
        <v>4267.7906999999996</v>
      </c>
      <c r="N14" s="2">
        <f t="shared" si="10"/>
        <v>4532.5711499999998</v>
      </c>
      <c r="O14" s="4">
        <f t="shared" si="11"/>
        <v>4797.8769499999999</v>
      </c>
      <c r="P14" s="4">
        <f t="shared" si="12"/>
        <v>5064.8831</v>
      </c>
      <c r="Q14" s="2">
        <f t="shared" si="13"/>
        <v>2343.1349802242385</v>
      </c>
    </row>
    <row r="15" spans="1:17" x14ac:dyDescent="0.2">
      <c r="A15" s="2">
        <v>0.98</v>
      </c>
      <c r="B15" s="9">
        <f t="shared" si="0"/>
        <v>7.84</v>
      </c>
      <c r="C15" s="9"/>
      <c r="D15" s="2">
        <f t="shared" si="1"/>
        <v>8.82</v>
      </c>
      <c r="E15" s="2">
        <f t="shared" si="2"/>
        <v>0.25</v>
      </c>
      <c r="F15" s="2">
        <v>47</v>
      </c>
      <c r="G15" s="2">
        <f t="shared" si="3"/>
        <v>4963.7000000000007</v>
      </c>
      <c r="H15" s="2">
        <f t="shared" si="4"/>
        <v>2976.8069</v>
      </c>
      <c r="I15" s="2">
        <f t="shared" si="5"/>
        <v>3232.1142</v>
      </c>
      <c r="J15" s="2">
        <f t="shared" si="6"/>
        <v>3490.1032</v>
      </c>
      <c r="K15" s="2">
        <f t="shared" si="7"/>
        <v>3749.9780000000001</v>
      </c>
      <c r="L15" s="2">
        <f t="shared" si="8"/>
        <v>4011.7313000000004</v>
      </c>
      <c r="M15" s="2">
        <f t="shared" si="9"/>
        <v>4274.7338</v>
      </c>
      <c r="N15" s="2">
        <f t="shared" si="10"/>
        <v>4539.9940999999999</v>
      </c>
      <c r="O15" s="4">
        <f t="shared" si="11"/>
        <v>4805.7812999999996</v>
      </c>
      <c r="P15" s="4">
        <f t="shared" si="12"/>
        <v>5073.2754000000004</v>
      </c>
      <c r="Q15" s="2">
        <f t="shared" si="13"/>
        <v>2359.0363301470952</v>
      </c>
    </row>
    <row r="16" spans="1:17" x14ac:dyDescent="0.2">
      <c r="A16" s="2">
        <v>0.99</v>
      </c>
      <c r="B16" s="9">
        <f t="shared" si="0"/>
        <v>7.92</v>
      </c>
      <c r="C16" s="9"/>
      <c r="D16" s="2">
        <f t="shared" si="1"/>
        <v>8.91</v>
      </c>
      <c r="E16" s="2">
        <f t="shared" si="2"/>
        <v>0.125</v>
      </c>
      <c r="F16" s="2">
        <v>47</v>
      </c>
      <c r="G16" s="2">
        <f t="shared" si="3"/>
        <v>5014.3500000000004</v>
      </c>
      <c r="H16" s="2">
        <f t="shared" si="4"/>
        <v>2981.4434499999998</v>
      </c>
      <c r="I16" s="2">
        <f t="shared" si="5"/>
        <v>3237.1971000000003</v>
      </c>
      <c r="J16" s="2">
        <f t="shared" si="6"/>
        <v>3495.6416000000004</v>
      </c>
      <c r="K16" s="2">
        <f t="shared" si="7"/>
        <v>3755.9790000000003</v>
      </c>
      <c r="L16" s="2">
        <f t="shared" si="8"/>
        <v>4018.2006500000002</v>
      </c>
      <c r="M16" s="2">
        <f t="shared" si="9"/>
        <v>4281.6769000000004</v>
      </c>
      <c r="N16" s="2">
        <f t="shared" si="10"/>
        <v>4547.41705</v>
      </c>
      <c r="O16" s="4">
        <f t="shared" si="11"/>
        <v>4813.6856499999994</v>
      </c>
      <c r="P16" s="4">
        <f t="shared" si="12"/>
        <v>5081.6677</v>
      </c>
      <c r="Q16" s="2">
        <f t="shared" si="13"/>
        <v>2374.8797727310471</v>
      </c>
    </row>
    <row r="17" spans="1:17" x14ac:dyDescent="0.2">
      <c r="A17" s="2">
        <v>1</v>
      </c>
      <c r="B17" s="9">
        <f t="shared" si="0"/>
        <v>8</v>
      </c>
      <c r="C17" s="9"/>
      <c r="D17" s="2">
        <f t="shared" si="1"/>
        <v>9</v>
      </c>
      <c r="E17" s="2">
        <f t="shared" si="2"/>
        <v>0</v>
      </c>
      <c r="F17" s="2">
        <v>47</v>
      </c>
      <c r="G17" s="2">
        <f t="shared" si="3"/>
        <v>5065.0000000000009</v>
      </c>
      <c r="H17" s="2">
        <f t="shared" si="4"/>
        <v>2986.08</v>
      </c>
      <c r="I17" s="2">
        <f t="shared" si="5"/>
        <v>3242.28</v>
      </c>
      <c r="J17" s="2">
        <f t="shared" si="6"/>
        <v>3501.1800000000003</v>
      </c>
      <c r="K17" s="2">
        <f t="shared" si="7"/>
        <v>3761.98</v>
      </c>
      <c r="L17" s="2">
        <f t="shared" si="8"/>
        <v>4024.67</v>
      </c>
      <c r="M17" s="2">
        <f t="shared" si="9"/>
        <v>4288.62</v>
      </c>
      <c r="N17" s="2">
        <f t="shared" si="10"/>
        <v>4554.84</v>
      </c>
      <c r="O17" s="4">
        <f t="shared" si="11"/>
        <v>4821.59</v>
      </c>
      <c r="P17" s="4">
        <f t="shared" si="12"/>
        <v>5090.0599999999995</v>
      </c>
      <c r="Q17" s="2">
        <f>(G17-O17)*100/(P17-O17)+2300</f>
        <v>2390.6656237195966</v>
      </c>
    </row>
    <row r="18" spans="1:17" x14ac:dyDescent="0.2">
      <c r="A18" s="1"/>
      <c r="B18" s="1"/>
      <c r="C18" s="2"/>
      <c r="D18" s="2"/>
      <c r="E18" s="2"/>
      <c r="F18" s="2"/>
      <c r="G18" s="2"/>
    </row>
    <row r="19" spans="1:17" x14ac:dyDescent="0.2">
      <c r="A19" s="1"/>
      <c r="B19" s="1"/>
      <c r="C19" s="2"/>
      <c r="D19" s="2"/>
      <c r="E19" s="2"/>
      <c r="F19" s="2"/>
      <c r="G19" s="2"/>
    </row>
    <row r="20" spans="1:17" x14ac:dyDescent="0.2">
      <c r="A20" s="9" t="s">
        <v>4</v>
      </c>
      <c r="B20" s="9"/>
      <c r="C20" s="9"/>
      <c r="D20" s="9"/>
      <c r="E20" s="9"/>
      <c r="F20" s="9"/>
      <c r="G20" s="9"/>
    </row>
    <row r="21" spans="1:17" x14ac:dyDescent="0.2">
      <c r="A21" s="9" t="s">
        <v>5</v>
      </c>
      <c r="B21" s="9"/>
      <c r="C21" s="9"/>
      <c r="D21" s="9"/>
      <c r="E21" s="9"/>
      <c r="F21" s="9"/>
      <c r="G21" s="9"/>
    </row>
    <row r="22" spans="1:17" x14ac:dyDescent="0.2">
      <c r="A22" s="2" t="s">
        <v>7</v>
      </c>
      <c r="B22" s="2" t="s">
        <v>0</v>
      </c>
      <c r="C22" s="2"/>
      <c r="D22" s="2" t="s">
        <v>1</v>
      </c>
      <c r="E22" s="2" t="s">
        <v>2</v>
      </c>
      <c r="F22" s="2" t="s">
        <v>3</v>
      </c>
      <c r="G22" s="2" t="s">
        <v>23</v>
      </c>
      <c r="H22" s="2" t="s">
        <v>25</v>
      </c>
      <c r="I22" s="2" t="s">
        <v>26</v>
      </c>
      <c r="J22" s="2" t="s">
        <v>24</v>
      </c>
      <c r="K22" s="2" t="s">
        <v>17</v>
      </c>
    </row>
    <row r="23" spans="1:17" x14ac:dyDescent="0.2">
      <c r="A23" s="2"/>
      <c r="B23" s="2" t="s">
        <v>19</v>
      </c>
      <c r="C23" s="2"/>
      <c r="D23" s="2" t="s">
        <v>20</v>
      </c>
      <c r="E23" s="2" t="s">
        <v>21</v>
      </c>
      <c r="F23" s="2">
        <v>47</v>
      </c>
      <c r="G23" s="2" t="s">
        <v>22</v>
      </c>
      <c r="H23" s="5"/>
      <c r="I23" s="5"/>
      <c r="J23" s="5"/>
      <c r="K23" s="5"/>
    </row>
    <row r="24" spans="1:17" x14ac:dyDescent="0.2">
      <c r="A24" s="2">
        <v>0.6</v>
      </c>
      <c r="B24" s="2">
        <f>8*A24</f>
        <v>4.8</v>
      </c>
      <c r="C24" s="2"/>
      <c r="D24" s="2">
        <f>9*A24</f>
        <v>5.3999999999999995</v>
      </c>
      <c r="E24" s="2">
        <f>12.5-12.5*A24</f>
        <v>5</v>
      </c>
      <c r="F24" s="2">
        <v>47</v>
      </c>
      <c r="G24" s="2">
        <f>B24*393.5+D24*241.8-A24*259.2</f>
        <v>3039</v>
      </c>
      <c r="H24" s="5">
        <f>E24*J24/(40*10^-6)</f>
        <v>1.3664725457570715E-2</v>
      </c>
      <c r="I24" s="5">
        <f>47*J24/(40*10^-6)</f>
        <v>0.12844841930116471</v>
      </c>
      <c r="J24" s="5">
        <f>6.57*10^-6/(A24+12.5*4.76)</f>
        <v>1.0931780366056571E-7</v>
      </c>
      <c r="K24" s="5">
        <v>1700.0150000000001</v>
      </c>
      <c r="L24" s="2">
        <f>B24+D24+E24+F24</f>
        <v>62.2</v>
      </c>
      <c r="M24" s="2">
        <f>J24*L24</f>
        <v>6.7995673876871873E-6</v>
      </c>
    </row>
    <row r="25" spans="1:17" x14ac:dyDescent="0.2">
      <c r="A25" s="2">
        <v>0.65</v>
      </c>
      <c r="B25" s="2">
        <f t="shared" ref="B25:B36" si="14">8*A25</f>
        <v>5.2</v>
      </c>
      <c r="C25" s="2"/>
      <c r="D25" s="2">
        <f t="shared" ref="D25:D36" si="15">9*A25</f>
        <v>5.8500000000000005</v>
      </c>
      <c r="E25" s="2">
        <f t="shared" ref="E25:E36" si="16">12.5-12.5*A25</f>
        <v>4.375</v>
      </c>
      <c r="F25" s="2">
        <v>47</v>
      </c>
      <c r="G25" s="2">
        <f t="shared" ref="G25:G36" si="17">B25*393.5+D25*241.8-A25*259.2</f>
        <v>3292.2500000000005</v>
      </c>
      <c r="H25" s="5">
        <f t="shared" ref="H25:H36" si="18">E25*J25/(40*10^-6)</f>
        <v>1.1946695760598503E-2</v>
      </c>
      <c r="I25" s="5">
        <f t="shared" ref="I25:I36" si="19">47*J25/(40*10^-6)</f>
        <v>0.12834164588528679</v>
      </c>
      <c r="J25" s="5">
        <f t="shared" ref="J25:J36" si="20">6.57*10^-6/(A25+12.5*4.76)</f>
        <v>1.0922693266832917E-7</v>
      </c>
      <c r="K25" s="5">
        <v>1793.7909999999999</v>
      </c>
      <c r="L25" s="2">
        <f t="shared" ref="L25:L36" si="21">B25+D25+E25+F25</f>
        <v>62.424999999999997</v>
      </c>
      <c r="M25" s="2">
        <f t="shared" ref="M25:M36" si="22">J25*L25</f>
        <v>6.8184912718204482E-6</v>
      </c>
    </row>
    <row r="26" spans="1:17" x14ac:dyDescent="0.2">
      <c r="A26" s="2">
        <v>0.7</v>
      </c>
      <c r="B26" s="2">
        <f t="shared" si="14"/>
        <v>5.6</v>
      </c>
      <c r="C26" s="2"/>
      <c r="D26" s="2">
        <f t="shared" si="15"/>
        <v>6.3</v>
      </c>
      <c r="E26" s="2">
        <f t="shared" si="16"/>
        <v>3.75</v>
      </c>
      <c r="F26" s="2">
        <v>47</v>
      </c>
      <c r="G26" s="2">
        <f t="shared" si="17"/>
        <v>3545.4999999999995</v>
      </c>
      <c r="H26" s="5">
        <f t="shared" si="18"/>
        <v>1.0231519933554818E-2</v>
      </c>
      <c r="I26" s="5">
        <f t="shared" si="19"/>
        <v>0.12823504983388703</v>
      </c>
      <c r="J26" s="5">
        <f t="shared" si="20"/>
        <v>1.0913621262458471E-7</v>
      </c>
      <c r="K26" s="5">
        <v>1885.2382533755597</v>
      </c>
      <c r="L26" s="2">
        <f t="shared" si="21"/>
        <v>62.65</v>
      </c>
      <c r="M26" s="2">
        <f t="shared" si="22"/>
        <v>6.8373837209302321E-6</v>
      </c>
      <c r="N26" s="5"/>
      <c r="O26" s="5"/>
      <c r="P26" s="5"/>
    </row>
    <row r="27" spans="1:17" x14ac:dyDescent="0.2">
      <c r="A27" s="2">
        <v>0.75</v>
      </c>
      <c r="B27" s="2">
        <f t="shared" si="14"/>
        <v>6</v>
      </c>
      <c r="C27" s="2"/>
      <c r="D27" s="2">
        <f t="shared" si="15"/>
        <v>6.75</v>
      </c>
      <c r="E27" s="2">
        <f t="shared" si="16"/>
        <v>3.125</v>
      </c>
      <c r="F27" s="2">
        <v>47</v>
      </c>
      <c r="G27" s="2">
        <f t="shared" si="17"/>
        <v>3798.75</v>
      </c>
      <c r="H27" s="5">
        <f t="shared" si="18"/>
        <v>8.5191908713692956E-3</v>
      </c>
      <c r="I27" s="5">
        <f t="shared" si="19"/>
        <v>0.12812863070539421</v>
      </c>
      <c r="J27" s="5">
        <f t="shared" si="20"/>
        <v>1.0904564315352697E-7</v>
      </c>
      <c r="K27" s="5">
        <v>1974.4258784271733</v>
      </c>
      <c r="L27" s="2">
        <f t="shared" si="21"/>
        <v>62.875</v>
      </c>
      <c r="M27" s="2">
        <f t="shared" si="22"/>
        <v>6.8562448132780084E-6</v>
      </c>
      <c r="N27" s="5"/>
      <c r="O27" s="5"/>
      <c r="P27" s="5"/>
    </row>
    <row r="28" spans="1:17" x14ac:dyDescent="0.2">
      <c r="A28" s="2">
        <v>0.8</v>
      </c>
      <c r="B28" s="2">
        <f t="shared" si="14"/>
        <v>6.4</v>
      </c>
      <c r="C28" s="2"/>
      <c r="D28" s="2">
        <f t="shared" si="15"/>
        <v>7.2</v>
      </c>
      <c r="E28" s="2">
        <f t="shared" si="16"/>
        <v>2.5</v>
      </c>
      <c r="F28" s="2">
        <v>47</v>
      </c>
      <c r="G28" s="2">
        <f t="shared" si="17"/>
        <v>4052.0000000000005</v>
      </c>
      <c r="H28" s="5">
        <f t="shared" si="18"/>
        <v>6.8097014925373144E-3</v>
      </c>
      <c r="I28" s="5">
        <f t="shared" si="19"/>
        <v>0.12802238805970151</v>
      </c>
      <c r="J28" s="5">
        <f t="shared" si="20"/>
        <v>1.0895522388059701E-7</v>
      </c>
      <c r="K28" s="5">
        <v>2061.5844385499558</v>
      </c>
      <c r="L28" s="2">
        <f t="shared" si="21"/>
        <v>63.1</v>
      </c>
      <c r="M28" s="2">
        <f t="shared" si="22"/>
        <v>6.8750746268656716E-6</v>
      </c>
      <c r="N28" s="5"/>
      <c r="O28" s="5"/>
      <c r="P28" s="5"/>
    </row>
    <row r="29" spans="1:17" x14ac:dyDescent="0.2">
      <c r="A29" s="2">
        <v>0.85</v>
      </c>
      <c r="B29" s="2">
        <f t="shared" si="14"/>
        <v>6.8</v>
      </c>
      <c r="C29" s="2"/>
      <c r="D29" s="2">
        <f t="shared" si="15"/>
        <v>7.6499999999999995</v>
      </c>
      <c r="E29" s="2">
        <f t="shared" si="16"/>
        <v>1.875</v>
      </c>
      <c r="F29" s="2">
        <v>47</v>
      </c>
      <c r="G29" s="2">
        <f t="shared" si="17"/>
        <v>4305.25</v>
      </c>
      <c r="H29" s="5">
        <f t="shared" si="18"/>
        <v>5.1030447390223695E-3</v>
      </c>
      <c r="I29" s="5">
        <f t="shared" si="19"/>
        <v>0.12791632145816073</v>
      </c>
      <c r="J29" s="5">
        <f t="shared" si="20"/>
        <v>1.0886495443247722E-7</v>
      </c>
      <c r="K29" s="5">
        <v>2146.6278476076864</v>
      </c>
      <c r="L29" s="2">
        <f t="shared" si="21"/>
        <v>63.325000000000003</v>
      </c>
      <c r="M29" s="2">
        <f t="shared" si="22"/>
        <v>6.8938732394366203E-6</v>
      </c>
      <c r="N29" s="5"/>
      <c r="O29" s="5"/>
      <c r="P29" s="5"/>
    </row>
    <row r="30" spans="1:17" x14ac:dyDescent="0.2">
      <c r="A30" s="2">
        <v>0.9</v>
      </c>
      <c r="B30" s="2">
        <f t="shared" si="14"/>
        <v>7.2</v>
      </c>
      <c r="C30" s="2"/>
      <c r="D30" s="2">
        <f t="shared" si="15"/>
        <v>8.1</v>
      </c>
      <c r="E30" s="2">
        <f t="shared" si="16"/>
        <v>1.25</v>
      </c>
      <c r="F30" s="2">
        <v>47</v>
      </c>
      <c r="G30" s="2">
        <f t="shared" si="17"/>
        <v>4558.5000000000009</v>
      </c>
      <c r="H30" s="5">
        <f t="shared" si="18"/>
        <v>3.3992135761589408E-3</v>
      </c>
      <c r="I30" s="5">
        <f t="shared" si="19"/>
        <v>0.12781043046357618</v>
      </c>
      <c r="J30" s="5">
        <f t="shared" si="20"/>
        <v>1.0877483443708609E-7</v>
      </c>
      <c r="K30" s="2">
        <v>2229.7360805692997</v>
      </c>
      <c r="L30" s="2">
        <f t="shared" si="21"/>
        <v>63.55</v>
      </c>
      <c r="M30" s="2">
        <f t="shared" si="22"/>
        <v>6.9126407284768203E-6</v>
      </c>
      <c r="N30" s="5"/>
      <c r="O30" s="5"/>
      <c r="P30" s="5"/>
    </row>
    <row r="31" spans="1:17" x14ac:dyDescent="0.2">
      <c r="A31" s="2">
        <v>0.95</v>
      </c>
      <c r="B31" s="2">
        <f t="shared" si="14"/>
        <v>7.6</v>
      </c>
      <c r="C31" s="2"/>
      <c r="D31" s="2">
        <f t="shared" si="15"/>
        <v>8.5499999999999989</v>
      </c>
      <c r="E31" s="2">
        <f t="shared" si="16"/>
        <v>0.625</v>
      </c>
      <c r="F31" s="2">
        <v>47</v>
      </c>
      <c r="G31" s="2">
        <f t="shared" si="17"/>
        <v>4811.75</v>
      </c>
      <c r="H31" s="5">
        <f t="shared" si="18"/>
        <v>1.6982009925558315E-3</v>
      </c>
      <c r="I31" s="5">
        <f t="shared" si="19"/>
        <v>0.1277047146401985</v>
      </c>
      <c r="J31" s="5">
        <f t="shared" si="20"/>
        <v>1.086848635235732E-7</v>
      </c>
      <c r="K31" s="2">
        <v>2311.1572838051316</v>
      </c>
      <c r="L31" s="2">
        <f t="shared" si="21"/>
        <v>63.774999999999999</v>
      </c>
      <c r="M31" s="2">
        <f t="shared" si="22"/>
        <v>6.9313771712158804E-6</v>
      </c>
      <c r="N31" s="5"/>
      <c r="O31" s="5"/>
      <c r="P31" s="5"/>
    </row>
    <row r="32" spans="1:17" x14ac:dyDescent="0.2">
      <c r="A32" s="2">
        <v>0.96</v>
      </c>
      <c r="B32" s="2">
        <f t="shared" si="14"/>
        <v>7.68</v>
      </c>
      <c r="C32" s="2"/>
      <c r="D32" s="2">
        <f t="shared" si="15"/>
        <v>8.64</v>
      </c>
      <c r="E32" s="2">
        <f t="shared" si="16"/>
        <v>0.5</v>
      </c>
      <c r="F32" s="2">
        <v>47</v>
      </c>
      <c r="G32" s="2">
        <f t="shared" si="17"/>
        <v>4862.3999999999996</v>
      </c>
      <c r="H32" s="5">
        <f t="shared" si="18"/>
        <v>1.3583360899768443E-3</v>
      </c>
      <c r="I32" s="5">
        <f t="shared" si="19"/>
        <v>0.12768359245782335</v>
      </c>
      <c r="J32" s="5">
        <f t="shared" si="20"/>
        <v>1.0866688719814753E-7</v>
      </c>
      <c r="K32" s="2">
        <v>2327.1754049066817</v>
      </c>
      <c r="L32" s="2">
        <f t="shared" si="21"/>
        <v>63.82</v>
      </c>
      <c r="M32" s="2">
        <f t="shared" si="22"/>
        <v>6.9351207409857754E-6</v>
      </c>
      <c r="N32" s="5"/>
      <c r="O32" s="5"/>
      <c r="P32" s="5"/>
    </row>
    <row r="33" spans="1:16" x14ac:dyDescent="0.2">
      <c r="A33" s="2">
        <v>0.97</v>
      </c>
      <c r="B33" s="2">
        <f t="shared" si="14"/>
        <v>7.76</v>
      </c>
      <c r="C33" s="2"/>
      <c r="D33" s="2">
        <f t="shared" si="15"/>
        <v>8.73</v>
      </c>
      <c r="E33" s="2">
        <f t="shared" si="16"/>
        <v>0.375</v>
      </c>
      <c r="F33" s="2">
        <v>47</v>
      </c>
      <c r="G33" s="2">
        <f t="shared" si="17"/>
        <v>4913.05</v>
      </c>
      <c r="H33" s="5">
        <f t="shared" si="18"/>
        <v>1.0185835951711593E-3</v>
      </c>
      <c r="I33" s="5">
        <f t="shared" si="19"/>
        <v>0.12766247726145197</v>
      </c>
      <c r="J33" s="5">
        <f t="shared" si="20"/>
        <v>1.0864891681825698E-7</v>
      </c>
      <c r="K33" s="2">
        <v>2343.1349802242385</v>
      </c>
      <c r="L33" s="2">
        <f t="shared" si="21"/>
        <v>63.865000000000002</v>
      </c>
      <c r="M33" s="2">
        <f t="shared" si="22"/>
        <v>6.9388630725979829E-6</v>
      </c>
      <c r="N33" s="5"/>
      <c r="O33" s="5"/>
      <c r="P33" s="5"/>
    </row>
    <row r="34" spans="1:16" x14ac:dyDescent="0.2">
      <c r="A34" s="2">
        <v>0.98</v>
      </c>
      <c r="B34" s="2">
        <f t="shared" si="14"/>
        <v>7.84</v>
      </c>
      <c r="C34" s="2"/>
      <c r="D34" s="2">
        <f t="shared" si="15"/>
        <v>8.82</v>
      </c>
      <c r="E34" s="2">
        <f t="shared" si="16"/>
        <v>0.25</v>
      </c>
      <c r="F34" s="2">
        <v>47</v>
      </c>
      <c r="G34" s="2">
        <f t="shared" si="17"/>
        <v>4963.7000000000007</v>
      </c>
      <c r="H34" s="5">
        <f t="shared" si="18"/>
        <v>6.7894345238095246E-4</v>
      </c>
      <c r="I34" s="5">
        <f t="shared" si="19"/>
        <v>0.12764136904761908</v>
      </c>
      <c r="J34" s="5">
        <f t="shared" si="20"/>
        <v>1.0863095238095238E-7</v>
      </c>
      <c r="K34" s="2">
        <v>2359.0363301470952</v>
      </c>
      <c r="L34" s="2">
        <f t="shared" si="21"/>
        <v>63.91</v>
      </c>
      <c r="M34" s="2">
        <f t="shared" si="22"/>
        <v>6.9426041666666661E-6</v>
      </c>
      <c r="N34" s="5"/>
      <c r="O34" s="5"/>
      <c r="P34" s="5"/>
    </row>
    <row r="35" spans="1:16" x14ac:dyDescent="0.2">
      <c r="A35" s="2">
        <v>0.99</v>
      </c>
      <c r="B35" s="2">
        <f t="shared" si="14"/>
        <v>7.92</v>
      </c>
      <c r="C35" s="2"/>
      <c r="D35" s="2">
        <f t="shared" si="15"/>
        <v>8.91</v>
      </c>
      <c r="E35" s="2">
        <f t="shared" si="16"/>
        <v>0.125</v>
      </c>
      <c r="F35" s="2">
        <v>47</v>
      </c>
      <c r="G35" s="2">
        <f t="shared" si="17"/>
        <v>5014.3500000000004</v>
      </c>
      <c r="H35" s="5">
        <f t="shared" si="18"/>
        <v>3.3941560588527026E-4</v>
      </c>
      <c r="I35" s="5">
        <f t="shared" si="19"/>
        <v>0.12762026781286162</v>
      </c>
      <c r="J35" s="5">
        <f t="shared" si="20"/>
        <v>1.0861299388328648E-7</v>
      </c>
      <c r="K35" s="2">
        <v>2374.8797727310471</v>
      </c>
      <c r="L35" s="2">
        <f t="shared" si="21"/>
        <v>63.954999999999998</v>
      </c>
      <c r="M35" s="2">
        <f t="shared" si="22"/>
        <v>6.9463440238055868E-6</v>
      </c>
      <c r="N35" s="5"/>
      <c r="O35" s="5"/>
      <c r="P35" s="5"/>
    </row>
    <row r="36" spans="1:16" x14ac:dyDescent="0.2">
      <c r="A36" s="2">
        <v>1</v>
      </c>
      <c r="B36" s="2">
        <f t="shared" si="14"/>
        <v>8</v>
      </c>
      <c r="C36" s="2"/>
      <c r="D36" s="2">
        <f t="shared" si="15"/>
        <v>9</v>
      </c>
      <c r="E36" s="2">
        <f t="shared" si="16"/>
        <v>0</v>
      </c>
      <c r="F36" s="2">
        <v>47</v>
      </c>
      <c r="G36" s="2">
        <f t="shared" si="17"/>
        <v>5065.0000000000009</v>
      </c>
      <c r="H36" s="5">
        <f t="shared" si="18"/>
        <v>0</v>
      </c>
      <c r="I36" s="5">
        <f t="shared" si="19"/>
        <v>0.127599173553719</v>
      </c>
      <c r="J36" s="5">
        <f t="shared" si="20"/>
        <v>1.0859504132231404E-7</v>
      </c>
      <c r="K36" s="2">
        <v>2390.6656237195966</v>
      </c>
      <c r="L36" s="2">
        <f t="shared" si="21"/>
        <v>64</v>
      </c>
      <c r="M36" s="2">
        <f t="shared" si="22"/>
        <v>6.9500826446280985E-6</v>
      </c>
      <c r="N36" s="5"/>
      <c r="O36" s="5"/>
      <c r="P36" s="5"/>
    </row>
    <row r="37" spans="1:16" x14ac:dyDescent="0.2">
      <c r="A37" s="2"/>
      <c r="B37" s="2"/>
      <c r="C37" s="2"/>
      <c r="D37" s="2"/>
      <c r="E37" s="2"/>
      <c r="F37" s="2"/>
      <c r="G37" s="2"/>
      <c r="H37" s="5"/>
      <c r="I37" s="5"/>
      <c r="J37" s="5"/>
      <c r="L37" s="5"/>
      <c r="M37" s="5"/>
      <c r="N37" s="5"/>
      <c r="O37" s="5"/>
      <c r="P37" s="5"/>
    </row>
    <row r="38" spans="1:16" x14ac:dyDescent="0.2">
      <c r="A38" s="2"/>
      <c r="B38" s="2"/>
      <c r="C38" s="2"/>
      <c r="D38" s="2"/>
      <c r="E38" s="2"/>
      <c r="F38" s="2"/>
      <c r="G38" s="2"/>
      <c r="H38" s="5"/>
      <c r="I38" s="5"/>
      <c r="J38" s="5"/>
      <c r="L38" s="5"/>
      <c r="M38" s="5"/>
      <c r="N38" s="5"/>
      <c r="O38" s="5"/>
      <c r="P38" s="5"/>
    </row>
    <row r="39" spans="1:16" x14ac:dyDescent="0.2">
      <c r="A39" s="2"/>
      <c r="B39" s="2"/>
      <c r="C39" s="2"/>
      <c r="D39" s="2"/>
      <c r="E39" s="2"/>
      <c r="F39" s="2"/>
      <c r="G39" s="2"/>
      <c r="H39" s="5"/>
      <c r="I39" s="5"/>
      <c r="J39" s="5"/>
      <c r="L39" s="5"/>
      <c r="M39" s="5"/>
      <c r="N39" s="5"/>
      <c r="O39" s="5"/>
      <c r="P39" s="5"/>
    </row>
    <row r="40" spans="1:16" x14ac:dyDescent="0.2">
      <c r="A40" s="2"/>
      <c r="B40" s="2"/>
      <c r="C40" s="2"/>
      <c r="D40" s="2"/>
      <c r="E40" s="2"/>
      <c r="F40" s="2"/>
      <c r="G40" s="2"/>
      <c r="H40" s="5"/>
      <c r="I40" s="5"/>
      <c r="J40" s="5"/>
      <c r="L40" s="5"/>
      <c r="M40" s="5"/>
      <c r="N40" s="5"/>
      <c r="O40" s="5"/>
      <c r="P40" s="5"/>
    </row>
    <row r="41" spans="1:16" x14ac:dyDescent="0.2">
      <c r="A41" s="2"/>
      <c r="B41" s="2"/>
      <c r="C41" s="2"/>
      <c r="D41" s="2"/>
      <c r="E41" s="2"/>
      <c r="F41" s="2"/>
      <c r="G41" s="2"/>
      <c r="H41" s="5"/>
      <c r="I41" s="5"/>
      <c r="J41" s="5"/>
      <c r="L41" s="5"/>
      <c r="M41" s="5"/>
      <c r="N41" s="5"/>
      <c r="O41" s="5"/>
      <c r="P41" s="5"/>
    </row>
    <row r="42" spans="1:16" x14ac:dyDescent="0.2">
      <c r="A42" s="2"/>
      <c r="B42" s="2"/>
      <c r="C42" s="2"/>
      <c r="D42" s="2"/>
      <c r="E42" s="2"/>
      <c r="F42" s="2"/>
      <c r="G42" s="2"/>
      <c r="H42" s="5"/>
      <c r="I42" s="5"/>
      <c r="J42" s="5"/>
      <c r="L42" s="5"/>
      <c r="M42" s="5"/>
      <c r="N42" s="5"/>
      <c r="O42" s="5"/>
      <c r="P42" s="5"/>
    </row>
    <row r="43" spans="1:16" x14ac:dyDescent="0.2">
      <c r="A43" s="2"/>
      <c r="B43" s="2"/>
      <c r="C43" s="2"/>
      <c r="D43" s="2"/>
      <c r="E43" s="2"/>
      <c r="F43" s="2"/>
      <c r="G43" s="2"/>
      <c r="H43" s="5"/>
      <c r="I43" s="5"/>
      <c r="J43" s="5"/>
      <c r="L43" s="5"/>
      <c r="M43" s="5"/>
      <c r="N43" s="5"/>
      <c r="O43" s="5"/>
      <c r="P43" s="5"/>
    </row>
    <row r="44" spans="1:16" x14ac:dyDescent="0.2">
      <c r="A44" s="2"/>
      <c r="B44" s="2"/>
      <c r="C44" s="2"/>
      <c r="D44" s="2"/>
      <c r="E44" s="2"/>
      <c r="F44" s="2"/>
      <c r="G44" s="2"/>
      <c r="H44" s="5"/>
      <c r="I44" s="5"/>
      <c r="J44" s="5"/>
      <c r="L44" s="5"/>
      <c r="M44" s="5"/>
      <c r="N44" s="5"/>
      <c r="O44" s="5"/>
      <c r="P44" s="5"/>
    </row>
    <row r="45" spans="1:16" x14ac:dyDescent="0.2">
      <c r="A45" s="2"/>
      <c r="B45" s="2"/>
      <c r="C45" s="2"/>
      <c r="D45" s="2"/>
      <c r="E45" s="2"/>
      <c r="F45" s="2"/>
      <c r="G45" s="2"/>
      <c r="H45" s="5"/>
      <c r="I45" s="5"/>
      <c r="J45" s="5"/>
      <c r="L45" s="5"/>
      <c r="M45" s="5"/>
      <c r="N45" s="5"/>
      <c r="O45" s="5"/>
      <c r="P45" s="5"/>
    </row>
    <row r="46" spans="1:16" x14ac:dyDescent="0.2">
      <c r="A46" s="2"/>
      <c r="B46" s="2"/>
      <c r="C46" s="2"/>
      <c r="D46" s="2"/>
      <c r="E46" s="2"/>
      <c r="F46" s="2"/>
      <c r="G46" s="2"/>
      <c r="H46" s="5"/>
      <c r="I46" s="5"/>
      <c r="J46" s="5"/>
      <c r="L46" s="5"/>
      <c r="M46" s="5"/>
      <c r="N46" s="5"/>
      <c r="O46" s="5"/>
      <c r="P46" s="5"/>
    </row>
    <row r="47" spans="1:16" x14ac:dyDescent="0.2">
      <c r="A47" s="2"/>
      <c r="B47" s="2"/>
      <c r="C47" s="2"/>
      <c r="D47" s="2"/>
      <c r="E47" s="2"/>
      <c r="F47" s="2"/>
      <c r="G47" s="2"/>
      <c r="H47" s="5"/>
      <c r="I47" s="5"/>
      <c r="J47" s="5"/>
      <c r="L47" s="5"/>
      <c r="M47" s="5"/>
      <c r="N47" s="5"/>
      <c r="O47" s="5"/>
      <c r="P47" s="5"/>
    </row>
    <row r="48" spans="1:16" x14ac:dyDescent="0.2">
      <c r="A48" s="2"/>
      <c r="B48" s="2"/>
      <c r="C48" s="2"/>
      <c r="D48" s="2"/>
      <c r="E48" s="2"/>
      <c r="F48" s="2"/>
      <c r="G48" s="2"/>
      <c r="H48" s="5"/>
      <c r="I48" s="5"/>
      <c r="J48" s="5"/>
      <c r="L48" s="5"/>
      <c r="M48" s="5"/>
      <c r="N48" s="5"/>
      <c r="O48" s="5"/>
      <c r="P48" s="5"/>
    </row>
    <row r="49" spans="1:28" x14ac:dyDescent="0.2">
      <c r="A49" s="2"/>
      <c r="B49" s="2"/>
      <c r="C49" s="2"/>
      <c r="D49" s="2"/>
      <c r="E49" s="2"/>
      <c r="F49" s="2"/>
      <c r="G49" s="2"/>
      <c r="H49" s="5"/>
      <c r="I49" s="5"/>
      <c r="J49" s="5"/>
      <c r="L49" s="5"/>
      <c r="M49" s="5"/>
      <c r="N49" s="5"/>
      <c r="O49" s="5"/>
      <c r="P49" s="5"/>
    </row>
    <row r="50" spans="1:28" x14ac:dyDescent="0.2">
      <c r="A50" s="2"/>
      <c r="B50" s="2"/>
      <c r="C50" s="2"/>
      <c r="D50" s="2"/>
      <c r="E50" s="2"/>
      <c r="F50" s="2"/>
      <c r="G50" s="2"/>
      <c r="H50" s="5"/>
      <c r="I50" s="5"/>
      <c r="J50" s="5"/>
      <c r="L50" s="5"/>
      <c r="M50" s="5"/>
      <c r="N50" s="5"/>
      <c r="O50" s="5"/>
      <c r="P50" s="5"/>
    </row>
    <row r="51" spans="1:28" x14ac:dyDescent="0.2">
      <c r="A51" s="2"/>
      <c r="B51" s="2"/>
      <c r="C51" s="2"/>
      <c r="D51" s="2"/>
      <c r="E51" s="2"/>
      <c r="F51" s="2"/>
      <c r="G51" s="2"/>
      <c r="H51" s="5"/>
      <c r="I51" s="5"/>
      <c r="J51" s="5"/>
      <c r="L51" s="5"/>
      <c r="M51" s="5"/>
      <c r="N51" s="5"/>
      <c r="O51" s="5"/>
      <c r="P51" s="5"/>
    </row>
    <row r="52" spans="1:28" x14ac:dyDescent="0.2">
      <c r="B52" s="6" t="s">
        <v>6</v>
      </c>
      <c r="C52" s="9">
        <v>0.6</v>
      </c>
      <c r="D52" s="9"/>
      <c r="E52" s="9">
        <v>0.65</v>
      </c>
      <c r="F52" s="9"/>
      <c r="G52" s="9">
        <v>0.7</v>
      </c>
      <c r="H52" s="9"/>
      <c r="I52" s="9">
        <v>0.75</v>
      </c>
      <c r="J52" s="9"/>
      <c r="K52" s="9">
        <v>0.8</v>
      </c>
      <c r="L52" s="9"/>
      <c r="M52" s="9">
        <v>0.85</v>
      </c>
      <c r="N52" s="9"/>
      <c r="O52" s="9">
        <v>0.9</v>
      </c>
      <c r="P52" s="9"/>
      <c r="Q52" s="9">
        <v>0.95</v>
      </c>
      <c r="R52" s="9"/>
      <c r="S52" s="9">
        <v>0.96</v>
      </c>
      <c r="T52" s="9"/>
      <c r="U52" s="9">
        <v>0.97</v>
      </c>
      <c r="V52" s="9"/>
      <c r="W52" s="9">
        <v>0.98</v>
      </c>
      <c r="X52" s="9"/>
      <c r="Y52" s="9">
        <v>0.99</v>
      </c>
      <c r="Z52" s="9"/>
      <c r="AA52" s="9">
        <v>1</v>
      </c>
      <c r="AB52" s="9"/>
    </row>
    <row r="53" spans="1:28" x14ac:dyDescent="0.2">
      <c r="A53" t="s">
        <v>27</v>
      </c>
      <c r="B53" s="2" t="s">
        <v>28</v>
      </c>
      <c r="C53" s="2" t="s">
        <v>30</v>
      </c>
      <c r="D53" s="3" t="s">
        <v>36</v>
      </c>
      <c r="E53" s="3" t="s">
        <v>31</v>
      </c>
      <c r="G53" s="3" t="s">
        <v>29</v>
      </c>
      <c r="H53" s="3"/>
      <c r="I53" s="3" t="s">
        <v>29</v>
      </c>
      <c r="J53" s="3"/>
      <c r="K53" s="3" t="s">
        <v>29</v>
      </c>
      <c r="L53" s="3"/>
      <c r="M53" s="3" t="s">
        <v>29</v>
      </c>
      <c r="N53" s="3"/>
      <c r="O53" s="3" t="s">
        <v>29</v>
      </c>
      <c r="P53" s="3"/>
      <c r="Q53" s="3" t="s">
        <v>29</v>
      </c>
      <c r="R53" s="3"/>
      <c r="S53" s="3" t="s">
        <v>29</v>
      </c>
      <c r="T53" s="3"/>
      <c r="U53" s="3" t="s">
        <v>29</v>
      </c>
      <c r="V53" s="3"/>
      <c r="W53" s="3" t="s">
        <v>29</v>
      </c>
      <c r="X53" s="3"/>
      <c r="Y53" s="3" t="s">
        <v>29</v>
      </c>
      <c r="Z53" s="3"/>
      <c r="AA53" s="2" t="s">
        <v>29</v>
      </c>
      <c r="AB53" s="2"/>
    </row>
    <row r="54" spans="1:28" x14ac:dyDescent="0.2">
      <c r="A54">
        <v>0</v>
      </c>
      <c r="B54" s="2">
        <v>10</v>
      </c>
      <c r="C54" s="2">
        <f>(B54/10)^(0.17/1.17)*1700.015</f>
        <v>1700.0150000000001</v>
      </c>
      <c r="D54" s="3">
        <f>174074.0741*0.12844842*SQRT(0.01366473)*EXP(-67837/C54)</f>
        <v>1.2225825706886195E-14</v>
      </c>
      <c r="E54" s="3">
        <f>(B54/10)^(0.17/1.17)*1793.791</f>
        <v>1793.7909999999999</v>
      </c>
      <c r="F54" s="3">
        <f>174074.0741*0.12834165*SQRT(0.0119467)*EXP(-67837/E54)</f>
        <v>9.1985493875754847E-14</v>
      </c>
      <c r="G54" s="3">
        <f t="shared" ref="G54:G69" si="23">(B54/10)^(0.17/1.17)*1885.238253</f>
        <v>1885.238253</v>
      </c>
      <c r="H54" s="3">
        <f>174074.0741*0.12823505*SQRT(0.01023152)*EXP(-67837/G54)</f>
        <v>5.3257877741727422E-13</v>
      </c>
      <c r="I54" s="3">
        <f t="shared" ref="I54:I69" si="24">(B54/10)^(0.17/1.17)*1974.425878</f>
        <v>1974.425878</v>
      </c>
      <c r="J54" s="3">
        <f>174074.0741*0.12812863*SQRT(0.008519191)*EXP(-67837/I54)</f>
        <v>2.4669536013922881E-12</v>
      </c>
      <c r="K54" s="2">
        <f t="shared" ref="K54:K69" si="25">(B54/10)^(0.17/1.17)*2061.584439</f>
        <v>2061.5844390000002</v>
      </c>
      <c r="L54" s="2">
        <f>174074.0741*0.12802239*SQRT(0.006809701)*EXP(-67837/K54)</f>
        <v>9.41901089499513E-12</v>
      </c>
      <c r="M54" s="2">
        <f t="shared" ref="M54:M69" si="26">(B54/10)^(0.17/1.17)*2146.627848</f>
        <v>2146.6278480000001</v>
      </c>
      <c r="N54" s="2">
        <f>174074.0741*0.12791632*SQRT(0.005103045)*EXP(-67837/M54)</f>
        <v>3.0001908371770267E-11</v>
      </c>
      <c r="O54" s="2">
        <f t="shared" ref="O54:O69" si="27">(B54/10)^(0.17/1.17)*2229.736081</f>
        <v>2229.736081</v>
      </c>
      <c r="P54" s="2">
        <f>174074.0741*0.1278104*SQRT(0.003399214)*EXP(-67837/O54)</f>
        <v>7.9452902297811208E-11</v>
      </c>
      <c r="Q54" s="2">
        <f t="shared" ref="Q54:Q69" si="28">(B54/10)^(0.17/1.17)*2311.157284</f>
        <v>2311.1572839999999</v>
      </c>
      <c r="R54" s="5">
        <f>174074.0741*0.1277047*SQRT(0.001698201)*EXP(-67837/Q54)</f>
        <v>1.6388550260167749E-10</v>
      </c>
      <c r="S54" s="2">
        <f t="shared" ref="S54:S69" si="29">(B54/10)^(0.17/1.17)*2327.175405</f>
        <v>2327.175405</v>
      </c>
      <c r="T54" s="2">
        <f>174074.0741*0.1276836*SQRT(0.001358336)*EXP(-67837/S54)</f>
        <v>1.7935731756628333E-10</v>
      </c>
      <c r="U54" s="2">
        <f t="shared" ref="U54:U69" si="30">(B54/10)^(0.17/1.17)*2343.13498</f>
        <v>2343.1349799999998</v>
      </c>
      <c r="V54" s="2">
        <f>174074.0741*0.1276625*SQRT(0.001018584)*EXP(-67837/U54)</f>
        <v>1.8939549941164804E-10</v>
      </c>
      <c r="W54" s="2">
        <f t="shared" ref="W54:W69" si="31">(B54/10)^(0.17/1.17)*2359.03633</f>
        <v>2359.0363299999999</v>
      </c>
      <c r="X54" s="2">
        <f>174074.0741*0.1276414*SQRT(0.000678943)*EXP(-67837/W54)</f>
        <v>1.8791813619337778E-10</v>
      </c>
      <c r="Y54" s="2">
        <f t="shared" ref="Y54:Y69" si="32">(B54/10)^(0.17/1.17)*2374.879773</f>
        <v>2374.8797730000001</v>
      </c>
      <c r="Z54" s="2">
        <f>174074.0741*0.12762027*SQRT(0.00033943)*EXP(-67837/Y54)</f>
        <v>1.6094239257061224E-10</v>
      </c>
      <c r="AA54" s="2">
        <f t="shared" ref="AA54:AA69" si="33">(B54/10)^(0.17/1.17)*2390.665624</f>
        <v>2390.6656240000002</v>
      </c>
      <c r="AB54" s="2">
        <f t="shared" ref="AB54:AB69" si="34">(4.7*10^13*0.12759917*0^0.5*EXP(-67837/C54))*(3.7*10^-9)</f>
        <v>0</v>
      </c>
    </row>
    <row r="55" spans="1:28" x14ac:dyDescent="0.2">
      <c r="A55">
        <v>1</v>
      </c>
      <c r="B55" s="2">
        <v>12</v>
      </c>
      <c r="C55" s="2">
        <f t="shared" ref="C55:C69" si="35">(B55/10)^(0.17/1.17)*1700.015</f>
        <v>1745.6522026478842</v>
      </c>
      <c r="D55" s="3">
        <f t="shared" ref="D55:D69" si="36">174074.0741*0.12844842*SQRT(0.01366473)*EXP(-67837/C55)</f>
        <v>3.4701011106559376E-14</v>
      </c>
      <c r="E55" s="3">
        <f t="shared" ref="E55:E68" si="37">(B55/10)^(0.17/1.17)*1793.791</f>
        <v>1841.9456359149483</v>
      </c>
      <c r="F55" s="3">
        <f t="shared" ref="F55:F69" si="38">174074.0741*0.12834165*SQRT(0.0119467)*EXP(-67837/E55)</f>
        <v>2.472281667616646E-13</v>
      </c>
      <c r="G55" s="3">
        <f t="shared" si="23"/>
        <v>1935.8478065578829</v>
      </c>
      <c r="H55" s="3">
        <f t="shared" ref="H55:H69" si="39">174074.0741*0.12823505*SQRT(0.01023152)*EXP(-67837/G55)</f>
        <v>1.3643776363689062E-12</v>
      </c>
      <c r="I55" s="3">
        <f t="shared" si="24"/>
        <v>2027.4296890884391</v>
      </c>
      <c r="J55" s="3">
        <f t="shared" ref="J55:J69" si="40">174074.0741*0.12812863*SQRT(0.008519191)*EXP(-67837/I55)</f>
        <v>6.0569905962870124E-12</v>
      </c>
      <c r="K55" s="2">
        <f t="shared" si="25"/>
        <v>2116.928037037881</v>
      </c>
      <c r="L55" s="2">
        <f t="shared" ref="L55:L69" si="41">174074.0741*0.12802239*SQRT(0.006809701)*EXP(-67837/K55)</f>
        <v>2.2264295186129141E-11</v>
      </c>
      <c r="M55" s="2">
        <f t="shared" si="26"/>
        <v>2204.2544513586572</v>
      </c>
      <c r="N55" s="2">
        <f t="shared" ref="N55:N69" si="42">174074.0741*0.12791632*SQRT(0.005103045)*EXP(-67837/M55)</f>
        <v>6.8541151702812665E-11</v>
      </c>
      <c r="O55" s="2">
        <f t="shared" si="27"/>
        <v>2289.5937395382457</v>
      </c>
      <c r="P55" s="2">
        <f t="shared" ref="P55:P69" si="43">174074.0741*0.1278104*SQRT(0.003399214)*EXP(-67837/O55)</f>
        <v>1.7601057142337326E-10</v>
      </c>
      <c r="Q55" s="2">
        <f t="shared" si="28"/>
        <v>2373.2007090998031</v>
      </c>
      <c r="R55" s="5">
        <f t="shared" ref="R55:R69" si="44">174074.0741*0.1277047*SQRT(0.001698201)*EXP(-67837/Q55)</f>
        <v>3.5302071547505977E-10</v>
      </c>
      <c r="S55" s="2">
        <f t="shared" si="29"/>
        <v>2389.6488393844947</v>
      </c>
      <c r="T55" s="2">
        <f t="shared" ref="T55:T69" si="45">174074.0741*0.1276836*SQRT(0.001358336)*EXP(-67837/S55)</f>
        <v>3.8431284707808589E-10</v>
      </c>
      <c r="U55" s="2">
        <f t="shared" si="30"/>
        <v>2406.0368519914859</v>
      </c>
      <c r="V55" s="2">
        <f t="shared" ref="V55:V68" si="46">174074.0741*0.1276625*SQRT(0.001018584)*EXP(-67837/U55)</f>
        <v>4.0372085187142152E-10</v>
      </c>
      <c r="W55" s="2">
        <f t="shared" si="31"/>
        <v>2422.365076538078</v>
      </c>
      <c r="X55" s="2">
        <f t="shared" ref="X55:X69" si="47">174074.0741*0.1276414*SQRT(0.000678943)*EXP(-67837/W55)</f>
        <v>3.9853319931236207E-10</v>
      </c>
      <c r="Y55" s="2">
        <f t="shared" si="32"/>
        <v>2438.6338395610378</v>
      </c>
      <c r="Z55" s="2">
        <f t="shared" ref="Z55:Z69" si="48">174074.0741*0.12762027*SQRT(0.00033943)*EXP(-67837/Y55)</f>
        <v>3.3961598526025053E-10</v>
      </c>
      <c r="AA55" s="2">
        <f t="shared" si="33"/>
        <v>2454.8434645165948</v>
      </c>
      <c r="AB55" s="2">
        <f t="shared" si="34"/>
        <v>0</v>
      </c>
    </row>
    <row r="56" spans="1:28" x14ac:dyDescent="0.2">
      <c r="A56">
        <v>2</v>
      </c>
      <c r="B56" s="2">
        <v>14</v>
      </c>
      <c r="C56" s="2">
        <f t="shared" si="35"/>
        <v>1785.1924114480362</v>
      </c>
      <c r="D56" s="3">
        <f t="shared" si="36"/>
        <v>8.2063283302089199E-14</v>
      </c>
      <c r="E56" s="3">
        <f t="shared" si="37"/>
        <v>1883.6669564231986</v>
      </c>
      <c r="F56" s="3">
        <f t="shared" si="38"/>
        <v>5.5893692048717398E-13</v>
      </c>
      <c r="G56" s="3">
        <f t="shared" si="23"/>
        <v>1979.6960750506041</v>
      </c>
      <c r="H56" s="3">
        <f t="shared" si="39"/>
        <v>2.9649345869215227E-12</v>
      </c>
      <c r="I56" s="3">
        <f t="shared" si="24"/>
        <v>2073.3523494629317</v>
      </c>
      <c r="J56" s="3">
        <f t="shared" si="40"/>
        <v>1.2708989380014E-11</v>
      </c>
      <c r="K56" s="2">
        <f t="shared" si="25"/>
        <v>2164.877895819835</v>
      </c>
      <c r="L56" s="2">
        <f t="shared" si="41"/>
        <v>4.5274732500538944E-11</v>
      </c>
      <c r="M56" s="2">
        <f t="shared" si="26"/>
        <v>2254.1823127752568</v>
      </c>
      <c r="N56" s="2">
        <f t="shared" si="42"/>
        <v>1.3551471469540697E-10</v>
      </c>
      <c r="O56" s="2">
        <f t="shared" si="27"/>
        <v>2341.4545938318684</v>
      </c>
      <c r="P56" s="2">
        <f t="shared" si="43"/>
        <v>3.3926557254048975E-10</v>
      </c>
      <c r="Q56" s="2">
        <f t="shared" si="28"/>
        <v>2426.9553180764015</v>
      </c>
      <c r="R56" s="5">
        <f t="shared" si="44"/>
        <v>6.649067618987788E-10</v>
      </c>
      <c r="S56" s="2">
        <f t="shared" si="29"/>
        <v>2443.7760096908028</v>
      </c>
      <c r="T56" s="2">
        <f t="shared" si="45"/>
        <v>7.2069728747576802E-10</v>
      </c>
      <c r="U56" s="2">
        <f t="shared" si="30"/>
        <v>2460.535221921245</v>
      </c>
      <c r="V56" s="2">
        <f t="shared" si="46"/>
        <v>7.5385747160478831E-10</v>
      </c>
      <c r="W56" s="2">
        <f t="shared" si="31"/>
        <v>2477.2332918510865</v>
      </c>
      <c r="X56" s="2">
        <f t="shared" si="47"/>
        <v>7.4104479245739529E-10</v>
      </c>
      <c r="Y56" s="2">
        <f t="shared" si="32"/>
        <v>2493.8705534133728</v>
      </c>
      <c r="Z56" s="2">
        <f t="shared" si="48"/>
        <v>6.2888462006930647E-10</v>
      </c>
      <c r="AA56" s="2">
        <f t="shared" si="33"/>
        <v>2510.4473373908372</v>
      </c>
      <c r="AB56" s="2">
        <f t="shared" si="34"/>
        <v>0</v>
      </c>
    </row>
    <row r="57" spans="1:28" x14ac:dyDescent="0.2">
      <c r="A57">
        <v>3</v>
      </c>
      <c r="B57" s="2">
        <v>16</v>
      </c>
      <c r="C57" s="2">
        <f t="shared" si="35"/>
        <v>1820.1668999793228</v>
      </c>
      <c r="D57" s="3">
        <f t="shared" si="36"/>
        <v>1.7031624228883887E-13</v>
      </c>
      <c r="E57" s="3">
        <f t="shared" si="37"/>
        <v>1920.5707030119199</v>
      </c>
      <c r="F57" s="3">
        <f t="shared" si="38"/>
        <v>1.1165860873898252E-12</v>
      </c>
      <c r="G57" s="3">
        <f t="shared" si="23"/>
        <v>2018.4811702752295</v>
      </c>
      <c r="H57" s="3">
        <f t="shared" si="39"/>
        <v>5.727521792081892E-12</v>
      </c>
      <c r="I57" s="3">
        <f t="shared" si="24"/>
        <v>2113.9723058903674</v>
      </c>
      <c r="J57" s="3">
        <f t="shared" si="40"/>
        <v>2.3831194366362776E-11</v>
      </c>
      <c r="K57" s="2">
        <f t="shared" si="25"/>
        <v>2207.2909694210002</v>
      </c>
      <c r="L57" s="2">
        <f t="shared" si="41"/>
        <v>8.2669910324261066E-11</v>
      </c>
      <c r="M57" s="2">
        <f t="shared" si="26"/>
        <v>2298.3449884285992</v>
      </c>
      <c r="N57" s="2">
        <f t="shared" si="42"/>
        <v>2.4161197849744688E-10</v>
      </c>
      <c r="O57" s="2">
        <f t="shared" si="27"/>
        <v>2387.3270590705461</v>
      </c>
      <c r="P57" s="2">
        <f t="shared" si="43"/>
        <v>5.9198599931331323E-10</v>
      </c>
      <c r="Q57" s="2">
        <f t="shared" si="28"/>
        <v>2474.5028655528986</v>
      </c>
      <c r="R57" s="5">
        <f t="shared" si="44"/>
        <v>1.1376662376654675E-9</v>
      </c>
      <c r="S57" s="2">
        <f t="shared" si="29"/>
        <v>2491.6530987238198</v>
      </c>
      <c r="T57" s="2">
        <f t="shared" si="45"/>
        <v>1.2285745149370623E-9</v>
      </c>
      <c r="U57" s="2">
        <f t="shared" si="30"/>
        <v>2508.7406480411714</v>
      </c>
      <c r="V57" s="2">
        <f t="shared" si="46"/>
        <v>1.2804424151395986E-9</v>
      </c>
      <c r="W57" s="2">
        <f t="shared" si="31"/>
        <v>2525.7658571922593</v>
      </c>
      <c r="X57" s="2">
        <f t="shared" si="47"/>
        <v>1.2541932232783598E-9</v>
      </c>
      <c r="Y57" s="2">
        <f t="shared" si="32"/>
        <v>2542.7290666523577</v>
      </c>
      <c r="Z57" s="2">
        <f t="shared" si="48"/>
        <v>1.060636204195861E-9</v>
      </c>
      <c r="AA57" s="2">
        <f t="shared" si="33"/>
        <v>2559.6306136847106</v>
      </c>
      <c r="AB57" s="2">
        <f t="shared" si="34"/>
        <v>0</v>
      </c>
    </row>
    <row r="58" spans="1:28" x14ac:dyDescent="0.2">
      <c r="A58">
        <v>4</v>
      </c>
      <c r="B58" s="2">
        <v>18</v>
      </c>
      <c r="C58" s="2">
        <f t="shared" si="35"/>
        <v>1851.5848991640789</v>
      </c>
      <c r="D58" s="3">
        <f t="shared" si="36"/>
        <v>3.2055526854566609E-13</v>
      </c>
      <c r="E58" s="3">
        <f t="shared" si="37"/>
        <v>1953.7217776645689</v>
      </c>
      <c r="F58" s="3">
        <f t="shared" si="38"/>
        <v>2.0332044284448736E-12</v>
      </c>
      <c r="G58" s="3">
        <f t="shared" si="23"/>
        <v>2053.3222827923692</v>
      </c>
      <c r="H58" s="3">
        <f t="shared" si="39"/>
        <v>1.0130473721134321E-11</v>
      </c>
      <c r="I58" s="3">
        <f t="shared" si="24"/>
        <v>2150.4616960577277</v>
      </c>
      <c r="J58" s="3">
        <f t="shared" si="40"/>
        <v>4.1079156997494799E-11</v>
      </c>
      <c r="K58" s="2">
        <f t="shared" si="25"/>
        <v>2245.3911380805757</v>
      </c>
      <c r="L58" s="2">
        <f t="shared" si="41"/>
        <v>1.3925974226381042E-10</v>
      </c>
      <c r="M58" s="2">
        <f t="shared" si="26"/>
        <v>2338.0168454289428</v>
      </c>
      <c r="N58" s="2">
        <f t="shared" si="42"/>
        <v>3.9867972558966416E-10</v>
      </c>
      <c r="O58" s="2">
        <f t="shared" si="27"/>
        <v>2428.5348403989929</v>
      </c>
      <c r="P58" s="2">
        <f t="shared" si="43"/>
        <v>9.5876043833679415E-10</v>
      </c>
      <c r="Q58" s="2">
        <f t="shared" si="28"/>
        <v>2517.2153931862167</v>
      </c>
      <c r="R58" s="5">
        <f t="shared" si="44"/>
        <v>1.811492344363229E-9</v>
      </c>
      <c r="S58" s="2">
        <f t="shared" si="29"/>
        <v>2534.6616574583459</v>
      </c>
      <c r="T58" s="2">
        <f t="shared" si="45"/>
        <v>1.9499909938041245E-9</v>
      </c>
      <c r="U58" s="2">
        <f t="shared" si="30"/>
        <v>2552.0441558875218</v>
      </c>
      <c r="V58" s="2">
        <f t="shared" si="46"/>
        <v>2.0259308391141035E-9</v>
      </c>
      <c r="W58" s="2">
        <f t="shared" si="31"/>
        <v>2569.3632380934573</v>
      </c>
      <c r="X58" s="2">
        <f t="shared" si="47"/>
        <v>1.9782712894292187E-9</v>
      </c>
      <c r="Y58" s="2">
        <f t="shared" si="32"/>
        <v>2586.6192504283881</v>
      </c>
      <c r="Z58" s="2">
        <f t="shared" si="48"/>
        <v>1.6678902134037573E-9</v>
      </c>
      <c r="AA58" s="2">
        <f t="shared" si="33"/>
        <v>2603.812535977077</v>
      </c>
      <c r="AB58" s="2">
        <f t="shared" si="34"/>
        <v>0</v>
      </c>
    </row>
    <row r="59" spans="1:28" x14ac:dyDescent="0.2">
      <c r="A59">
        <v>5</v>
      </c>
      <c r="B59" s="2">
        <v>20</v>
      </c>
      <c r="C59" s="2">
        <f t="shared" si="35"/>
        <v>1880.1485082171196</v>
      </c>
      <c r="D59" s="3">
        <f t="shared" si="36"/>
        <v>5.5928301794876697E-13</v>
      </c>
      <c r="E59" s="3">
        <f t="shared" si="37"/>
        <v>1983.8610086989202</v>
      </c>
      <c r="F59" s="3">
        <f t="shared" si="38"/>
        <v>3.4456617395342801E-12</v>
      </c>
      <c r="G59" s="3">
        <f t="shared" si="23"/>
        <v>2084.9980082598086</v>
      </c>
      <c r="H59" s="3">
        <f t="shared" si="39"/>
        <v>1.6734348219496369E-11</v>
      </c>
      <c r="I59" s="3">
        <f t="shared" si="24"/>
        <v>2183.6359497457233</v>
      </c>
      <c r="J59" s="3">
        <f t="shared" si="40"/>
        <v>6.6336743287574175E-11</v>
      </c>
      <c r="K59" s="2">
        <f t="shared" si="25"/>
        <v>2280.0298277070951</v>
      </c>
      <c r="L59" s="2">
        <f t="shared" si="41"/>
        <v>2.2037325761875788E-10</v>
      </c>
      <c r="M59" s="2">
        <f t="shared" si="26"/>
        <v>2374.0844322635539</v>
      </c>
      <c r="N59" s="2">
        <f t="shared" si="42"/>
        <v>6.195272669604941E-10</v>
      </c>
      <c r="O59" s="2">
        <f t="shared" si="27"/>
        <v>2465.9988096634652</v>
      </c>
      <c r="P59" s="2">
        <f t="shared" si="43"/>
        <v>1.4655850886574684E-9</v>
      </c>
      <c r="Q59" s="2">
        <f t="shared" si="28"/>
        <v>2556.0473994451395</v>
      </c>
      <c r="R59" s="5">
        <f t="shared" si="44"/>
        <v>2.7280013616877176E-9</v>
      </c>
      <c r="S59" s="2">
        <f t="shared" si="29"/>
        <v>2573.762799781367</v>
      </c>
      <c r="T59" s="2">
        <f t="shared" si="45"/>
        <v>2.9283084392905953E-9</v>
      </c>
      <c r="U59" s="2">
        <f t="shared" si="30"/>
        <v>2591.4134505862298</v>
      </c>
      <c r="V59" s="2">
        <f t="shared" si="46"/>
        <v>3.0339336408415349E-9</v>
      </c>
      <c r="W59" s="2">
        <f t="shared" si="31"/>
        <v>2608.9997068728735</v>
      </c>
      <c r="X59" s="2">
        <f t="shared" si="47"/>
        <v>2.9545077381138944E-9</v>
      </c>
      <c r="Y59" s="2">
        <f t="shared" si="32"/>
        <v>2626.5219203365623</v>
      </c>
      <c r="Z59" s="2">
        <f t="shared" si="48"/>
        <v>2.4843032935756857E-9</v>
      </c>
      <c r="AA59" s="2">
        <f t="shared" si="33"/>
        <v>2643.9804393546815</v>
      </c>
      <c r="AB59" s="2">
        <f t="shared" si="34"/>
        <v>0</v>
      </c>
    </row>
    <row r="60" spans="1:28" x14ac:dyDescent="0.2">
      <c r="A60">
        <v>6</v>
      </c>
      <c r="B60" s="2">
        <v>22</v>
      </c>
      <c r="C60" s="2">
        <f t="shared" si="35"/>
        <v>1906.3668447819521</v>
      </c>
      <c r="D60" s="3">
        <f t="shared" si="36"/>
        <v>9.1862165937675375E-13</v>
      </c>
      <c r="E60" s="3">
        <f t="shared" si="37"/>
        <v>2011.5255976378221</v>
      </c>
      <c r="F60" s="3">
        <f t="shared" si="38"/>
        <v>5.5145679537127558E-12</v>
      </c>
      <c r="G60" s="3">
        <f t="shared" si="23"/>
        <v>2114.0729346704875</v>
      </c>
      <c r="H60" s="3">
        <f t="shared" si="39"/>
        <v>2.6178251750291262E-11</v>
      </c>
      <c r="I60" s="3">
        <f t="shared" si="24"/>
        <v>2214.086364707779</v>
      </c>
      <c r="J60" s="3">
        <f t="shared" si="40"/>
        <v>1.0169690574335268E-10</v>
      </c>
      <c r="K60" s="2">
        <f t="shared" si="25"/>
        <v>2311.8244381537816</v>
      </c>
      <c r="L60" s="2">
        <f t="shared" si="41"/>
        <v>3.3179340462048759E-10</v>
      </c>
      <c r="M60" s="2">
        <f t="shared" si="26"/>
        <v>2407.1906174432766</v>
      </c>
      <c r="N60" s="2">
        <f t="shared" si="42"/>
        <v>9.1775963690125155E-10</v>
      </c>
      <c r="O60" s="2">
        <f t="shared" si="27"/>
        <v>2500.386724489163</v>
      </c>
      <c r="P60" s="2">
        <f t="shared" si="43"/>
        <v>2.1395295678413315E-9</v>
      </c>
      <c r="Q60" s="2">
        <f t="shared" si="28"/>
        <v>2591.6910258403045</v>
      </c>
      <c r="R60" s="5">
        <f t="shared" si="44"/>
        <v>3.9297358144795506E-9</v>
      </c>
      <c r="S60" s="2">
        <f t="shared" si="29"/>
        <v>2609.6534642835568</v>
      </c>
      <c r="T60" s="2">
        <f t="shared" si="45"/>
        <v>4.2076973531873228E-9</v>
      </c>
      <c r="U60" s="2">
        <f t="shared" si="30"/>
        <v>2627.5502502747454</v>
      </c>
      <c r="V60" s="2">
        <f t="shared" si="46"/>
        <v>4.3487203517505507E-9</v>
      </c>
      <c r="W60" s="2">
        <f t="shared" si="31"/>
        <v>2645.3817437776111</v>
      </c>
      <c r="X60" s="2">
        <f t="shared" si="47"/>
        <v>4.2246098171960537E-9</v>
      </c>
      <c r="Y60" s="2">
        <f t="shared" si="32"/>
        <v>2663.1483013917455</v>
      </c>
      <c r="Z60" s="2">
        <f t="shared" si="48"/>
        <v>3.5438067466678702E-9</v>
      </c>
      <c r="AA60" s="2">
        <f t="shared" si="33"/>
        <v>2680.8502763525948</v>
      </c>
      <c r="AB60" s="2">
        <f t="shared" si="34"/>
        <v>0</v>
      </c>
    </row>
    <row r="61" spans="1:28" x14ac:dyDescent="0.2">
      <c r="A61">
        <v>7</v>
      </c>
      <c r="B61" s="2">
        <v>24</v>
      </c>
      <c r="C61" s="2">
        <f t="shared" si="35"/>
        <v>1930.6214266782044</v>
      </c>
      <c r="D61" s="3">
        <f t="shared" si="36"/>
        <v>1.4364428603295483E-12</v>
      </c>
      <c r="E61" s="3">
        <f t="shared" si="37"/>
        <v>2037.1181075358293</v>
      </c>
      <c r="F61" s="3">
        <f t="shared" si="38"/>
        <v>8.4239015864875041E-12</v>
      </c>
      <c r="G61" s="3">
        <f t="shared" si="23"/>
        <v>2140.9701476958649</v>
      </c>
      <c r="H61" s="3">
        <f t="shared" si="39"/>
        <v>3.9175726284134391E-11</v>
      </c>
      <c r="I61" s="3">
        <f t="shared" si="24"/>
        <v>2242.2560421259377</v>
      </c>
      <c r="J61" s="3">
        <f t="shared" si="40"/>
        <v>1.4944304402595902E-10</v>
      </c>
      <c r="K61" s="2">
        <f t="shared" si="25"/>
        <v>2341.2376307501791</v>
      </c>
      <c r="L61" s="2">
        <f t="shared" si="41"/>
        <v>4.7969840816640141E-10</v>
      </c>
      <c r="M61" s="2">
        <f t="shared" si="26"/>
        <v>2437.8171477621809</v>
      </c>
      <c r="N61" s="2">
        <f t="shared" si="42"/>
        <v>1.3076356296386071E-9</v>
      </c>
      <c r="O61" s="2">
        <f t="shared" si="27"/>
        <v>2532.1989828419678</v>
      </c>
      <c r="P61" s="2">
        <f t="shared" si="43"/>
        <v>3.008466086199578E-9</v>
      </c>
      <c r="Q61" s="2">
        <f t="shared" si="28"/>
        <v>2624.6649429056824</v>
      </c>
      <c r="R61" s="5">
        <f t="shared" si="44"/>
        <v>5.4597813766402908E-9</v>
      </c>
      <c r="S61" s="2">
        <f t="shared" si="29"/>
        <v>2642.8559162898728</v>
      </c>
      <c r="T61" s="2">
        <f t="shared" si="45"/>
        <v>5.8327506104853587E-9</v>
      </c>
      <c r="U61" s="2">
        <f t="shared" si="30"/>
        <v>2660.9804019301037</v>
      </c>
      <c r="V61" s="2">
        <f t="shared" si="46"/>
        <v>6.0148439988008664E-9</v>
      </c>
      <c r="W61" s="2">
        <f t="shared" si="31"/>
        <v>2679.0387643699114</v>
      </c>
      <c r="X61" s="2">
        <f t="shared" si="47"/>
        <v>5.8304219885786057E-9</v>
      </c>
      <c r="Y61" s="2">
        <f t="shared" si="32"/>
        <v>2697.0313647458815</v>
      </c>
      <c r="Z61" s="2">
        <f t="shared" si="48"/>
        <v>4.8803392992166446E-9</v>
      </c>
      <c r="AA61" s="2">
        <f t="shared" si="33"/>
        <v>2714.958560787652</v>
      </c>
      <c r="AB61" s="2">
        <f t="shared" si="34"/>
        <v>0</v>
      </c>
    </row>
    <row r="62" spans="1:28" x14ac:dyDescent="0.2">
      <c r="A62">
        <v>8</v>
      </c>
      <c r="B62" s="2">
        <v>26</v>
      </c>
      <c r="C62" s="2">
        <f t="shared" si="35"/>
        <v>1953.2058940503032</v>
      </c>
      <c r="D62" s="3">
        <f t="shared" si="36"/>
        <v>2.1564327157986475E-12</v>
      </c>
      <c r="E62" s="3">
        <f t="shared" si="37"/>
        <v>2060.9483762757309</v>
      </c>
      <c r="F62" s="3">
        <f t="shared" si="38"/>
        <v>1.2380451893597416E-11</v>
      </c>
      <c r="G62" s="3">
        <f t="shared" si="23"/>
        <v>2166.0152807173445</v>
      </c>
      <c r="H62" s="3">
        <f t="shared" si="39"/>
        <v>5.6510450913321019E-11</v>
      </c>
      <c r="I62" s="3">
        <f t="shared" si="24"/>
        <v>2268.4860205792565</v>
      </c>
      <c r="J62" s="3">
        <f t="shared" si="40"/>
        <v>2.1203136961986568E-10</v>
      </c>
      <c r="K62" s="2">
        <f t="shared" si="25"/>
        <v>2368.6254987968859</v>
      </c>
      <c r="L62" s="2">
        <f t="shared" si="41"/>
        <v>6.7060951622628402E-10</v>
      </c>
      <c r="M62" s="2">
        <f t="shared" si="26"/>
        <v>2466.334805896488</v>
      </c>
      <c r="N62" s="2">
        <f t="shared" si="42"/>
        <v>1.8039471878098154E-9</v>
      </c>
      <c r="O62" s="2">
        <f t="shared" si="27"/>
        <v>2561.8207225146975</v>
      </c>
      <c r="P62" s="2">
        <f t="shared" si="43"/>
        <v>4.1008493847736999E-9</v>
      </c>
      <c r="Q62" s="2">
        <f t="shared" si="28"/>
        <v>2655.3683521534163</v>
      </c>
      <c r="R62" s="5">
        <f t="shared" si="44"/>
        <v>7.3614701606275998E-9</v>
      </c>
      <c r="S62" s="2">
        <f t="shared" si="29"/>
        <v>2673.7721240900232</v>
      </c>
      <c r="T62" s="2">
        <f t="shared" si="45"/>
        <v>7.8481873455483864E-9</v>
      </c>
      <c r="U62" s="2">
        <f t="shared" si="30"/>
        <v>2692.1086305070476</v>
      </c>
      <c r="V62" s="2">
        <f t="shared" si="46"/>
        <v>8.0768568338371506E-9</v>
      </c>
      <c r="W62" s="2">
        <f t="shared" si="31"/>
        <v>2710.3782402124662</v>
      </c>
      <c r="X62" s="2">
        <f t="shared" si="47"/>
        <v>7.8136703685107053E-9</v>
      </c>
      <c r="Y62" s="2">
        <f t="shared" si="32"/>
        <v>2728.5813185674515</v>
      </c>
      <c r="Z62" s="2">
        <f t="shared" si="48"/>
        <v>6.5276495293918238E-9</v>
      </c>
      <c r="AA62" s="2">
        <f t="shared" si="33"/>
        <v>2746.7182274863726</v>
      </c>
      <c r="AB62" s="2">
        <f t="shared" si="34"/>
        <v>0</v>
      </c>
    </row>
    <row r="63" spans="1:28" x14ac:dyDescent="0.2">
      <c r="A63">
        <v>9</v>
      </c>
      <c r="B63" s="2">
        <v>28</v>
      </c>
      <c r="C63" s="2">
        <f t="shared" si="35"/>
        <v>1974.3513141146091</v>
      </c>
      <c r="D63" s="3">
        <f t="shared" si="36"/>
        <v>3.1281054783913786E-12</v>
      </c>
      <c r="E63" s="3">
        <f t="shared" si="37"/>
        <v>2083.2602171727649</v>
      </c>
      <c r="F63" s="3">
        <f t="shared" si="38"/>
        <v>1.7613135732016254E-11</v>
      </c>
      <c r="G63" s="3">
        <f t="shared" si="23"/>
        <v>2189.4645766241356</v>
      </c>
      <c r="H63" s="3">
        <f t="shared" si="39"/>
        <v>7.9031918916765895E-11</v>
      </c>
      <c r="I63" s="3">
        <f t="shared" si="24"/>
        <v>2293.0446654007114</v>
      </c>
      <c r="J63" s="3">
        <f t="shared" si="40"/>
        <v>2.9207445985827384E-10</v>
      </c>
      <c r="K63" s="2">
        <f t="shared" si="25"/>
        <v>2394.2682542788616</v>
      </c>
      <c r="L63" s="2">
        <f t="shared" si="41"/>
        <v>9.1134466726035051E-10</v>
      </c>
      <c r="M63" s="2">
        <f t="shared" si="26"/>
        <v>2493.0353629902179</v>
      </c>
      <c r="N63" s="2">
        <f t="shared" si="42"/>
        <v>2.421916903595353E-9</v>
      </c>
      <c r="O63" s="2">
        <f t="shared" si="27"/>
        <v>2589.5550107799686</v>
      </c>
      <c r="P63" s="2">
        <f t="shared" si="43"/>
        <v>5.4455373687148788E-9</v>
      </c>
      <c r="Q63" s="2">
        <f t="shared" si="28"/>
        <v>2684.1153876824324</v>
      </c>
      <c r="R63" s="5">
        <f t="shared" si="44"/>
        <v>9.6781501433305053E-9</v>
      </c>
      <c r="S63" s="2">
        <f t="shared" si="29"/>
        <v>2702.7183989770369</v>
      </c>
      <c r="T63" s="2">
        <f t="shared" si="45"/>
        <v>1.0298625372516145E-8</v>
      </c>
      <c r="U63" s="2">
        <f t="shared" si="30"/>
        <v>2721.2534165350939</v>
      </c>
      <c r="V63" s="2">
        <f t="shared" si="46"/>
        <v>1.0579094433877475E-8</v>
      </c>
      <c r="W63" s="2">
        <f t="shared" si="31"/>
        <v>2739.7208131572979</v>
      </c>
      <c r="X63" s="2">
        <f t="shared" si="47"/>
        <v>1.0215771113892963E-8</v>
      </c>
      <c r="Y63" s="2">
        <f t="shared" si="32"/>
        <v>2758.1209581602247</v>
      </c>
      <c r="Z63" s="2">
        <f t="shared" si="48"/>
        <v>8.5191498029603899E-9</v>
      </c>
      <c r="AA63" s="2">
        <f t="shared" si="33"/>
        <v>2776.4542173763302</v>
      </c>
      <c r="AB63" s="2">
        <f t="shared" si="34"/>
        <v>0</v>
      </c>
    </row>
    <row r="64" spans="1:28" x14ac:dyDescent="0.2">
      <c r="A64">
        <v>10</v>
      </c>
      <c r="B64" s="2">
        <v>30</v>
      </c>
      <c r="C64" s="2">
        <f t="shared" si="35"/>
        <v>1994.2429429643339</v>
      </c>
      <c r="D64" s="3">
        <f t="shared" si="36"/>
        <v>4.4067771818554184E-12</v>
      </c>
      <c r="E64" s="3">
        <f t="shared" si="37"/>
        <v>2104.249105391973</v>
      </c>
      <c r="F64" s="3">
        <f t="shared" si="38"/>
        <v>2.4372233313966226E-11</v>
      </c>
      <c r="G64" s="3">
        <f t="shared" si="23"/>
        <v>2211.5234758820711</v>
      </c>
      <c r="H64" s="3">
        <f t="shared" si="39"/>
        <v>1.0765119127561019E-10</v>
      </c>
      <c r="I64" s="3">
        <f t="shared" si="24"/>
        <v>2316.1471361180097</v>
      </c>
      <c r="J64" s="3">
        <f t="shared" si="40"/>
        <v>3.9232605720506368E-10</v>
      </c>
      <c r="K64" s="2">
        <f t="shared" si="25"/>
        <v>2418.390554672068</v>
      </c>
      <c r="L64" s="2">
        <f t="shared" si="41"/>
        <v>1.2089775050599642E-9</v>
      </c>
      <c r="M64" s="2">
        <f t="shared" si="26"/>
        <v>2518.1527439726797</v>
      </c>
      <c r="N64" s="2">
        <f t="shared" si="42"/>
        <v>3.1771108019739526E-9</v>
      </c>
      <c r="O64" s="2">
        <f t="shared" si="27"/>
        <v>2615.6448291380957</v>
      </c>
      <c r="P64" s="2">
        <f t="shared" si="43"/>
        <v>7.0716444761538036E-9</v>
      </c>
      <c r="Q64" s="2">
        <f t="shared" si="28"/>
        <v>2711.1579037229767</v>
      </c>
      <c r="R64" s="5">
        <f t="shared" si="44"/>
        <v>1.2453005643395376E-8</v>
      </c>
      <c r="S64" s="2">
        <f t="shared" si="29"/>
        <v>2729.9483407272378</v>
      </c>
      <c r="T64" s="2">
        <f t="shared" si="45"/>
        <v>1.3228406084406467E-8</v>
      </c>
      <c r="U64" s="2">
        <f t="shared" si="30"/>
        <v>2748.6700989567003</v>
      </c>
      <c r="V64" s="2">
        <f t="shared" si="46"/>
        <v>1.3565511733112499E-8</v>
      </c>
      <c r="W64" s="2">
        <f t="shared" si="31"/>
        <v>2767.323554968033</v>
      </c>
      <c r="X64" s="2">
        <f t="shared" si="47"/>
        <v>1.3077686983171514E-8</v>
      </c>
      <c r="Y64" s="2">
        <f t="shared" si="32"/>
        <v>2785.9090817986835</v>
      </c>
      <c r="Z64" s="2">
        <f t="shared" si="48"/>
        <v>1.0887808692124848E-8</v>
      </c>
      <c r="AA64" s="2">
        <f t="shared" si="33"/>
        <v>2804.427048966877</v>
      </c>
      <c r="AB64" s="2">
        <f t="shared" si="34"/>
        <v>0</v>
      </c>
    </row>
    <row r="65" spans="1:28" x14ac:dyDescent="0.2">
      <c r="A65">
        <v>11</v>
      </c>
      <c r="B65" s="2">
        <v>32</v>
      </c>
      <c r="C65" s="2">
        <f t="shared" si="35"/>
        <v>2013.0316977804914</v>
      </c>
      <c r="D65" s="3">
        <f t="shared" si="36"/>
        <v>6.0535080140936367E-12</v>
      </c>
      <c r="E65" s="3">
        <f t="shared" si="37"/>
        <v>2124.0742829877177</v>
      </c>
      <c r="F65" s="3">
        <f t="shared" si="38"/>
        <v>3.2928574927895442E-11</v>
      </c>
      <c r="G65" s="3">
        <f t="shared" si="23"/>
        <v>2232.35933868661</v>
      </c>
      <c r="H65" s="3">
        <f t="shared" si="39"/>
        <v>1.4333678864195246E-10</v>
      </c>
      <c r="I65" s="3">
        <f t="shared" si="24"/>
        <v>2337.9687104714235</v>
      </c>
      <c r="J65" s="3">
        <f t="shared" si="40"/>
        <v>5.1566709769595307E-10</v>
      </c>
      <c r="K65" s="2">
        <f t="shared" si="25"/>
        <v>2441.175415133403</v>
      </c>
      <c r="L65" s="2">
        <f t="shared" si="41"/>
        <v>1.5708011556156867E-9</v>
      </c>
      <c r="M65" s="2">
        <f t="shared" si="26"/>
        <v>2541.8775136468339</v>
      </c>
      <c r="N65" s="2">
        <f t="shared" si="42"/>
        <v>4.0853639999301281E-9</v>
      </c>
      <c r="O65" s="2">
        <f t="shared" si="27"/>
        <v>2640.2881202447325</v>
      </c>
      <c r="P65" s="2">
        <f t="shared" si="43"/>
        <v>9.0084215007909723E-9</v>
      </c>
      <c r="Q65" s="2">
        <f t="shared" si="28"/>
        <v>2736.7010710189434</v>
      </c>
      <c r="R65" s="5">
        <f t="shared" si="44"/>
        <v>1.5728917516676054E-8</v>
      </c>
      <c r="S65" s="2">
        <f t="shared" si="29"/>
        <v>2755.6685420776594</v>
      </c>
      <c r="T65" s="2">
        <f t="shared" si="45"/>
        <v>1.6681459870459721E-8</v>
      </c>
      <c r="U65" s="2">
        <f t="shared" si="30"/>
        <v>2774.5666873046748</v>
      </c>
      <c r="V65" s="2">
        <f t="shared" si="46"/>
        <v>1.7079558840932874E-8</v>
      </c>
      <c r="W65" s="2">
        <f t="shared" si="31"/>
        <v>2793.3958868043865</v>
      </c>
      <c r="X65" s="2">
        <f t="shared" si="47"/>
        <v>1.6439820513004399E-8</v>
      </c>
      <c r="Y65" s="2">
        <f t="shared" si="32"/>
        <v>2812.1565171288121</v>
      </c>
      <c r="Z65" s="2">
        <f t="shared" si="48"/>
        <v>1.3666072405692382E-8</v>
      </c>
      <c r="AA65" s="2">
        <f t="shared" si="33"/>
        <v>2830.8489512775932</v>
      </c>
      <c r="AB65" s="2">
        <f t="shared" si="34"/>
        <v>0</v>
      </c>
    </row>
    <row r="66" spans="1:28" x14ac:dyDescent="0.2">
      <c r="A66">
        <v>12</v>
      </c>
      <c r="B66" s="2">
        <v>34</v>
      </c>
      <c r="C66" s="2">
        <f t="shared" si="35"/>
        <v>2030.842230344962</v>
      </c>
      <c r="D66" s="3">
        <f t="shared" si="36"/>
        <v>8.1350205082961903E-12</v>
      </c>
      <c r="E66" s="3">
        <f t="shared" si="37"/>
        <v>2142.8672777667957</v>
      </c>
      <c r="F66" s="3">
        <f t="shared" si="38"/>
        <v>4.3572701915313605E-11</v>
      </c>
      <c r="G66" s="3">
        <f t="shared" si="23"/>
        <v>2252.1103981165811</v>
      </c>
      <c r="H66" s="3">
        <f t="shared" si="39"/>
        <v>1.8711075812602208E-10</v>
      </c>
      <c r="I66" s="3">
        <f t="shared" si="24"/>
        <v>2358.6541611270077</v>
      </c>
      <c r="J66" s="3">
        <f t="shared" si="40"/>
        <v>6.6509291376590596E-10</v>
      </c>
      <c r="K66" s="2">
        <f t="shared" si="25"/>
        <v>2462.7739991372005</v>
      </c>
      <c r="L66" s="2">
        <f t="shared" si="41"/>
        <v>2.0042962122169363E-9</v>
      </c>
      <c r="M66" s="2">
        <f t="shared" si="26"/>
        <v>2564.3670712040339</v>
      </c>
      <c r="N66" s="2">
        <f t="shared" si="42"/>
        <v>5.1627172226289439E-9</v>
      </c>
      <c r="O66" s="2">
        <f t="shared" si="27"/>
        <v>2663.6483771135399</v>
      </c>
      <c r="P66" s="2">
        <f t="shared" si="43"/>
        <v>1.1285156899384629E-8</v>
      </c>
      <c r="Q66" s="2">
        <f t="shared" si="28"/>
        <v>2760.9143527066317</v>
      </c>
      <c r="R66" s="5">
        <f t="shared" si="44"/>
        <v>1.9548354476913293E-8</v>
      </c>
      <c r="S66" s="2">
        <f t="shared" si="29"/>
        <v>2780.049640676194</v>
      </c>
      <c r="T66" s="2">
        <f t="shared" si="45"/>
        <v>2.0701203051763718E-8</v>
      </c>
      <c r="U66" s="2">
        <f t="shared" si="30"/>
        <v>2799.1149894456798</v>
      </c>
      <c r="V66" s="2">
        <f t="shared" si="46"/>
        <v>2.1164087574249568E-8</v>
      </c>
      <c r="W66" s="2">
        <f t="shared" si="31"/>
        <v>2818.1107824825035</v>
      </c>
      <c r="X66" s="2">
        <f t="shared" si="47"/>
        <v>2.0341935240260611E-8</v>
      </c>
      <c r="Y66" s="2">
        <f t="shared" si="32"/>
        <v>2837.037399670272</v>
      </c>
      <c r="Z66" s="2">
        <f t="shared" si="48"/>
        <v>1.6885808258544977E-8</v>
      </c>
      <c r="AA66" s="2">
        <f t="shared" si="33"/>
        <v>2855.8952173087828</v>
      </c>
      <c r="AB66" s="2">
        <f t="shared" si="34"/>
        <v>0</v>
      </c>
    </row>
    <row r="67" spans="1:28" x14ac:dyDescent="0.2">
      <c r="A67">
        <v>13</v>
      </c>
      <c r="B67" s="2">
        <v>36</v>
      </c>
      <c r="C67" s="2">
        <f t="shared" si="35"/>
        <v>2047.7787466585228</v>
      </c>
      <c r="D67" s="3">
        <f t="shared" si="36"/>
        <v>1.0723599198358288E-11</v>
      </c>
      <c r="E67" s="3">
        <f t="shared" si="37"/>
        <v>2160.738043927458</v>
      </c>
      <c r="F67" s="3">
        <f t="shared" si="38"/>
        <v>5.6614018784189663E-11</v>
      </c>
      <c r="G67" s="3">
        <f t="shared" si="23"/>
        <v>2270.8922138222561</v>
      </c>
      <c r="H67" s="3">
        <f t="shared" si="39"/>
        <v>2.4004493435627904E-10</v>
      </c>
      <c r="I67" s="3">
        <f t="shared" si="24"/>
        <v>2378.3245146783956</v>
      </c>
      <c r="J67" s="3">
        <f t="shared" si="40"/>
        <v>8.4370153749115875E-10</v>
      </c>
      <c r="K67" s="2">
        <f t="shared" si="25"/>
        <v>2483.3126758447038</v>
      </c>
      <c r="L67" s="2">
        <f t="shared" si="41"/>
        <v>2.5171024244542592E-9</v>
      </c>
      <c r="M67" s="2">
        <f t="shared" si="26"/>
        <v>2585.7529987204357</v>
      </c>
      <c r="N67" s="2">
        <f t="shared" si="42"/>
        <v>6.4253624920222154E-9</v>
      </c>
      <c r="O67" s="2">
        <f t="shared" si="27"/>
        <v>2685.8622761148968</v>
      </c>
      <c r="P67" s="2">
        <f t="shared" si="43"/>
        <v>1.3931095636978308E-8</v>
      </c>
      <c r="Q67" s="2">
        <f t="shared" si="28"/>
        <v>2783.939416040585</v>
      </c>
      <c r="R67" s="5">
        <f t="shared" si="44"/>
        <v>2.3953288967091508E-8</v>
      </c>
      <c r="S67" s="2">
        <f t="shared" si="29"/>
        <v>2803.2342856418559</v>
      </c>
      <c r="T67" s="2">
        <f t="shared" si="45"/>
        <v>2.5330459496628212E-8</v>
      </c>
      <c r="U67" s="2">
        <f t="shared" si="30"/>
        <v>2822.4586327745001</v>
      </c>
      <c r="V67" s="2">
        <f t="shared" si="46"/>
        <v>2.5861281858041969E-8</v>
      </c>
      <c r="W67" s="2">
        <f t="shared" si="31"/>
        <v>2841.6128441039173</v>
      </c>
      <c r="X67" s="2">
        <f t="shared" si="47"/>
        <v>2.4823098545471928E-8</v>
      </c>
      <c r="Y67" s="2">
        <f t="shared" si="32"/>
        <v>2860.69730268181</v>
      </c>
      <c r="Z67" s="2">
        <f t="shared" si="48"/>
        <v>2.0578264990066622E-8</v>
      </c>
      <c r="AA67" s="2">
        <f t="shared" si="33"/>
        <v>2879.712387946186</v>
      </c>
      <c r="AB67" s="2">
        <f t="shared" si="34"/>
        <v>0</v>
      </c>
    </row>
    <row r="68" spans="1:28" x14ac:dyDescent="0.2">
      <c r="A68">
        <v>14</v>
      </c>
      <c r="B68" s="2">
        <v>38</v>
      </c>
      <c r="C68" s="2">
        <f t="shared" si="35"/>
        <v>2063.9292904350118</v>
      </c>
      <c r="D68" s="3">
        <f t="shared" si="36"/>
        <v>1.389697625377568E-11</v>
      </c>
      <c r="E68" s="3">
        <f t="shared" si="37"/>
        <v>2177.7794818391071</v>
      </c>
      <c r="F68" s="3">
        <f t="shared" si="38"/>
        <v>7.2379948638269966E-11</v>
      </c>
      <c r="G68" s="3">
        <f t="shared" si="23"/>
        <v>2288.802422222881</v>
      </c>
      <c r="H68" s="3">
        <f t="shared" si="39"/>
        <v>3.0325740312260427E-10</v>
      </c>
      <c r="I68" s="3">
        <f t="shared" si="24"/>
        <v>2397.0820265686275</v>
      </c>
      <c r="J68" s="3">
        <f t="shared" si="40"/>
        <v>1.0546830224608771E-9</v>
      </c>
      <c r="K68" s="2">
        <f t="shared" si="25"/>
        <v>2502.8982146375956</v>
      </c>
      <c r="L68" s="2">
        <f t="shared" si="41"/>
        <v>3.1169936413338809E-9</v>
      </c>
      <c r="M68" s="2">
        <f t="shared" si="26"/>
        <v>2606.1464699727217</v>
      </c>
      <c r="N68" s="2">
        <f t="shared" si="42"/>
        <v>7.8895965847446358E-9</v>
      </c>
      <c r="O68" s="2">
        <f t="shared" si="27"/>
        <v>2707.0452951977918</v>
      </c>
      <c r="P68" s="2">
        <f t="shared" si="43"/>
        <v>1.6975372417927189E-8</v>
      </c>
      <c r="Q68" s="2">
        <f t="shared" si="28"/>
        <v>2805.8959557708777</v>
      </c>
      <c r="R68" s="5">
        <f t="shared" si="44"/>
        <v>2.898513250724942E-8</v>
      </c>
      <c r="S68" s="2">
        <f t="shared" si="29"/>
        <v>2825.3430013026127</v>
      </c>
      <c r="T68" s="2">
        <f t="shared" si="45"/>
        <v>3.0611401671652731E-8</v>
      </c>
      <c r="U68" s="2">
        <f t="shared" si="30"/>
        <v>2844.7189681649015</v>
      </c>
      <c r="V68" s="2">
        <f t="shared" si="46"/>
        <v>3.1212606777951312E-8</v>
      </c>
      <c r="W68" s="2">
        <f t="shared" si="31"/>
        <v>2864.0242460727195</v>
      </c>
      <c r="X68" s="2">
        <f t="shared" si="47"/>
        <v>2.9921641254703326E-8</v>
      </c>
      <c r="Y68" s="2">
        <f t="shared" si="32"/>
        <v>2883.2592210988441</v>
      </c>
      <c r="Z68" s="2">
        <f t="shared" si="48"/>
        <v>2.4774046027819499E-8</v>
      </c>
      <c r="AA68" s="2">
        <f t="shared" si="33"/>
        <v>2902.4242756738586</v>
      </c>
      <c r="AB68" s="2">
        <f t="shared" si="34"/>
        <v>0</v>
      </c>
    </row>
    <row r="69" spans="1:28" x14ac:dyDescent="0.2">
      <c r="A69">
        <v>15</v>
      </c>
      <c r="B69" s="2">
        <v>40</v>
      </c>
      <c r="C69" s="2">
        <f t="shared" si="35"/>
        <v>2079.3689543627902</v>
      </c>
      <c r="D69" s="3">
        <f t="shared" si="36"/>
        <v>1.773820670901591E-11</v>
      </c>
      <c r="E69" s="3">
        <f>(B69/10)^(0.17/1.17)*1793.791</f>
        <v>2194.0708264429336</v>
      </c>
      <c r="F69" s="3">
        <f t="shared" si="38"/>
        <v>9.1215100634816102E-11</v>
      </c>
      <c r="G69" s="3">
        <f t="shared" si="23"/>
        <v>2305.9242976475757</v>
      </c>
      <c r="H69" s="3">
        <f t="shared" si="39"/>
        <v>3.7790916861649174E-10</v>
      </c>
      <c r="I69" s="3">
        <f t="shared" si="24"/>
        <v>2415.0139107029609</v>
      </c>
      <c r="J69" s="3">
        <f t="shared" si="40"/>
        <v>1.3013097012668671E-9</v>
      </c>
      <c r="K69" s="2">
        <f t="shared" si="25"/>
        <v>2521.6216793699055</v>
      </c>
      <c r="L69" s="2">
        <f t="shared" si="41"/>
        <v>3.8118556120876399E-9</v>
      </c>
      <c r="M69" s="2">
        <f t="shared" si="26"/>
        <v>2625.6423053336625</v>
      </c>
      <c r="N69" s="2">
        <f t="shared" si="42"/>
        <v>9.5717810898589503E-9</v>
      </c>
      <c r="O69" s="2">
        <f t="shared" si="27"/>
        <v>2727.2959257735702</v>
      </c>
      <c r="P69" s="2">
        <f t="shared" si="43"/>
        <v>2.044695677173147E-8</v>
      </c>
      <c r="Q69" s="2">
        <f t="shared" si="28"/>
        <v>2826.8860598283109</v>
      </c>
      <c r="R69" s="5">
        <f t="shared" si="44"/>
        <v>3.4684686570386317E-8</v>
      </c>
      <c r="S69" s="2">
        <f t="shared" si="29"/>
        <v>2846.4785831381796</v>
      </c>
      <c r="T69" s="2">
        <f t="shared" si="45"/>
        <v>3.6585507072812242E-8</v>
      </c>
      <c r="U69" s="2">
        <f t="shared" si="30"/>
        <v>2865.9994960594331</v>
      </c>
      <c r="V69" s="2">
        <f>174074.0741*0.1276625*SQRT(0.001018584)*EXP(-67837/U69)</f>
        <v>3.7258772275494458E-8</v>
      </c>
      <c r="W69" s="2">
        <f t="shared" si="31"/>
        <v>2885.4491912223916</v>
      </c>
      <c r="X69" s="2">
        <f t="shared" si="47"/>
        <v>3.5675130285031155E-8</v>
      </c>
      <c r="Y69" s="2">
        <f t="shared" si="32"/>
        <v>2904.8280575879335</v>
      </c>
      <c r="Z69" s="2">
        <f t="shared" si="48"/>
        <v>2.9503092733288164E-8</v>
      </c>
      <c r="AA69" s="2">
        <f t="shared" si="33"/>
        <v>2924.1364804474947</v>
      </c>
      <c r="AB69" s="2">
        <f t="shared" si="34"/>
        <v>0</v>
      </c>
    </row>
    <row r="70" spans="1:28" x14ac:dyDescent="0.2">
      <c r="A70" t="s">
        <v>33</v>
      </c>
      <c r="D70" s="3">
        <f>SUM(D54:D69)</f>
        <v>6.9772835228190254E-11</v>
      </c>
      <c r="F70" s="3">
        <f>SUM(F54:F69)</f>
        <v>3.7250823821675851E-10</v>
      </c>
      <c r="H70" s="2">
        <f>SUM(H54:H69)</f>
        <v>1.5976608267368927E-9</v>
      </c>
      <c r="J70" s="2">
        <f>SUM(J54:J69)</f>
        <v>5.6805061373624011E-9</v>
      </c>
      <c r="L70" s="2">
        <f>SUM(L54:L69)</f>
        <v>1.7142733495830384E-8</v>
      </c>
      <c r="N70" s="2">
        <f>SUM(N54:N69)</f>
        <v>4.4257068294921446E-8</v>
      </c>
      <c r="P70" s="2">
        <f>SUM(P54:P69)</f>
        <v>9.7024090683065121E-8</v>
      </c>
      <c r="R70" s="2">
        <f>SUM(R54:R69)</f>
        <v>1.6864149610048186E-7</v>
      </c>
      <c r="S70" s="2"/>
      <c r="T70" s="2">
        <f>SUM(T54:T69)</f>
        <v>1.7871693932961222E-7</v>
      </c>
      <c r="U70" s="2"/>
      <c r="V70" s="2">
        <f>SUM(V54:V69)</f>
        <v>1.8284861539603182E-7</v>
      </c>
      <c r="W70" s="2"/>
      <c r="X70" s="2">
        <f>SUM(X54:X69)</f>
        <v>1.7587825448860585E-7</v>
      </c>
      <c r="Y70" s="2"/>
      <c r="Z70" s="2">
        <f>SUM(Z54:Z69)</f>
        <v>1.461083111948487E-7</v>
      </c>
      <c r="AA70" s="2"/>
      <c r="AB70" s="2">
        <f>SUM(AB54:AB69)</f>
        <v>0</v>
      </c>
    </row>
    <row r="71" spans="1:28" x14ac:dyDescent="0.2">
      <c r="A71" t="s">
        <v>32</v>
      </c>
      <c r="D71" s="3">
        <f>J24*(B24+D24+E24+F24)</f>
        <v>6.7995673876871873E-6</v>
      </c>
      <c r="F71" s="3">
        <v>6.8184912718204482E-6</v>
      </c>
      <c r="H71" s="2">
        <v>6.8373837209302321E-6</v>
      </c>
      <c r="J71" s="2">
        <v>6.8562448132780084E-6</v>
      </c>
      <c r="L71" s="2">
        <v>6.8750746268656716E-6</v>
      </c>
      <c r="N71" s="2">
        <v>6.8938732394366203E-6</v>
      </c>
      <c r="P71" s="2">
        <v>6.9126407284768203E-6</v>
      </c>
      <c r="R71" s="2">
        <v>6.9313771712158804E-6</v>
      </c>
      <c r="S71" s="2"/>
      <c r="T71" s="2">
        <v>6.9351207409857754E-6</v>
      </c>
      <c r="U71" s="2"/>
      <c r="V71" s="2">
        <v>6.9388630725979829E-6</v>
      </c>
      <c r="W71" s="2"/>
      <c r="X71" s="2">
        <v>6.9426041666666661E-6</v>
      </c>
      <c r="Y71" s="2"/>
      <c r="Z71" s="2">
        <v>6.9463440238055868E-6</v>
      </c>
      <c r="AA71" s="2"/>
      <c r="AB71" s="2"/>
    </row>
    <row r="72" spans="1:28" x14ac:dyDescent="0.2">
      <c r="C72" s="2"/>
      <c r="D72" s="2">
        <f>D70/D71*10^6</f>
        <v>10.261363885375488</v>
      </c>
      <c r="E72" s="2"/>
      <c r="F72" s="2">
        <f t="shared" ref="F72" si="49">F70/F71*10^6</f>
        <v>54.632062045201344</v>
      </c>
      <c r="G72" s="2"/>
      <c r="H72" s="2">
        <f t="shared" ref="H72" si="50">H70/H71*10^6</f>
        <v>233.66552060640083</v>
      </c>
      <c r="J72" s="2">
        <f t="shared" ref="J72" si="51">J70/J71*10^6</f>
        <v>828.51565136083866</v>
      </c>
      <c r="L72" s="2">
        <f t="shared" ref="L72" si="52">L70/L71*10^6</f>
        <v>2493.4614424172019</v>
      </c>
      <c r="N72" s="2">
        <f t="shared" ref="N72" si="53">N70/N71*10^6</f>
        <v>6419.7682141510058</v>
      </c>
      <c r="P72" s="2">
        <f t="shared" ref="P72" si="54">P70/P71*10^6</f>
        <v>14035.74907102746</v>
      </c>
      <c r="R72" s="2">
        <f t="shared" ref="R72" si="55">R70/R71*10^6</f>
        <v>24330.157187348574</v>
      </c>
      <c r="S72" s="2"/>
      <c r="T72" s="2">
        <f t="shared" ref="T72" si="56">T70/T71*10^6</f>
        <v>25769.838190907827</v>
      </c>
      <c r="U72" s="2"/>
      <c r="V72" s="2">
        <f t="shared" ref="V72" si="57">V70/V71*10^6</f>
        <v>26351.379683238421</v>
      </c>
      <c r="W72" s="2"/>
      <c r="X72" s="2">
        <f t="shared" ref="X72" si="58">X70/X71*10^6</f>
        <v>25333.181939573231</v>
      </c>
      <c r="Y72" s="2"/>
      <c r="Z72" s="2">
        <f t="shared" ref="Z72" si="59">Z70/Z71*10^6</f>
        <v>21033.84322661327</v>
      </c>
      <c r="AA72" s="2"/>
      <c r="AB72" s="2">
        <v>0</v>
      </c>
    </row>
  </sheetData>
  <mergeCells count="32">
    <mergeCell ref="B17:C17"/>
    <mergeCell ref="Y52:Z52"/>
    <mergeCell ref="W52:X52"/>
    <mergeCell ref="B5:C5"/>
    <mergeCell ref="B6:C6"/>
    <mergeCell ref="B7:C7"/>
    <mergeCell ref="B15:C15"/>
    <mergeCell ref="B16:C16"/>
    <mergeCell ref="AA52:AB52"/>
    <mergeCell ref="I52:J52"/>
    <mergeCell ref="K52:L52"/>
    <mergeCell ref="M52:N52"/>
    <mergeCell ref="O52:P52"/>
    <mergeCell ref="Q52:R52"/>
    <mergeCell ref="S52:T52"/>
    <mergeCell ref="U52:V52"/>
    <mergeCell ref="A1:G1"/>
    <mergeCell ref="A2:G2"/>
    <mergeCell ref="A20:G20"/>
    <mergeCell ref="A21:G21"/>
    <mergeCell ref="C52:D52"/>
    <mergeCell ref="E52:F52"/>
    <mergeCell ref="B11:C11"/>
    <mergeCell ref="B12:C12"/>
    <mergeCell ref="B13:C13"/>
    <mergeCell ref="B14:C14"/>
    <mergeCell ref="B8:C8"/>
    <mergeCell ref="B9:C9"/>
    <mergeCell ref="B10:C10"/>
    <mergeCell ref="G52:H52"/>
    <mergeCell ref="B3:C3"/>
    <mergeCell ref="B4:C4"/>
  </mergeCells>
  <phoneticPr fontId="1" type="noConversion"/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4"/>
  <sheetViews>
    <sheetView workbookViewId="0">
      <selection activeCell="A4" sqref="A4"/>
    </sheetView>
  </sheetViews>
  <sheetFormatPr baseColWidth="10" defaultRowHeight="16" x14ac:dyDescent="0.2"/>
  <cols>
    <col min="1" max="1" width="36" customWidth="1"/>
  </cols>
  <sheetData>
    <row r="3" spans="1:14" x14ac:dyDescent="0.2">
      <c r="A3" s="6" t="s">
        <v>6</v>
      </c>
      <c r="B3" s="2">
        <v>0.6</v>
      </c>
      <c r="C3" s="2">
        <v>0.65</v>
      </c>
      <c r="D3" s="2">
        <v>0.7</v>
      </c>
      <c r="E3" s="2">
        <v>0.75</v>
      </c>
      <c r="F3" s="2">
        <v>0.8</v>
      </c>
      <c r="G3" s="2">
        <v>0.85</v>
      </c>
      <c r="H3" s="2">
        <v>0.9</v>
      </c>
      <c r="I3" s="2">
        <v>0.95</v>
      </c>
      <c r="J3" s="2">
        <v>0.96</v>
      </c>
      <c r="K3" s="2">
        <v>0.97</v>
      </c>
      <c r="L3" s="2">
        <v>0.98</v>
      </c>
      <c r="M3" s="2">
        <v>0.99</v>
      </c>
      <c r="N3" s="2">
        <v>1</v>
      </c>
    </row>
    <row r="4" spans="1:14" x14ac:dyDescent="0.2">
      <c r="A4" s="2" t="s">
        <v>38</v>
      </c>
      <c r="B4" s="2">
        <v>10.261363885375488</v>
      </c>
      <c r="C4" s="2">
        <v>54.632062045201344</v>
      </c>
      <c r="D4" s="2">
        <v>233.66552060640083</v>
      </c>
      <c r="E4" s="2">
        <v>828.51565136083866</v>
      </c>
      <c r="F4" s="2">
        <v>2493.4614424172019</v>
      </c>
      <c r="G4" s="2">
        <v>6419.7682141510058</v>
      </c>
      <c r="H4" s="2">
        <v>14035.74907102746</v>
      </c>
      <c r="I4" s="2">
        <v>24330.157187348574</v>
      </c>
      <c r="J4" s="2">
        <v>25769.838190907827</v>
      </c>
      <c r="K4" s="2">
        <v>26351.379683238421</v>
      </c>
      <c r="L4" s="2">
        <v>25333.181939573231</v>
      </c>
      <c r="M4" s="2">
        <v>21033.84322661327</v>
      </c>
      <c r="N4" s="2">
        <v>0</v>
      </c>
    </row>
  </sheetData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topLeftCell="A36" workbookViewId="0">
      <selection activeCell="K64" sqref="K64"/>
    </sheetView>
  </sheetViews>
  <sheetFormatPr baseColWidth="10" defaultRowHeight="16" x14ac:dyDescent="0.2"/>
  <cols>
    <col min="1" max="1" width="19.5" customWidth="1"/>
    <col min="2" max="3" width="11.1640625" bestFit="1" customWidth="1"/>
    <col min="4" max="4" width="12.83203125" bestFit="1" customWidth="1"/>
    <col min="5" max="5" width="11.1640625" bestFit="1" customWidth="1"/>
    <col min="6" max="6" width="12.83203125" bestFit="1" customWidth="1"/>
    <col min="7" max="7" width="11.1640625" bestFit="1" customWidth="1"/>
    <col min="8" max="9" width="12.83203125" bestFit="1" customWidth="1"/>
    <col min="10" max="10" width="12" customWidth="1"/>
    <col min="11" max="11" width="11" bestFit="1" customWidth="1"/>
    <col min="12" max="12" width="12.83203125" bestFit="1" customWidth="1"/>
    <col min="17" max="17" width="12.83203125" bestFit="1" customWidth="1"/>
  </cols>
  <sheetData>
    <row r="1" spans="1:17" x14ac:dyDescent="0.2">
      <c r="A1" s="2"/>
      <c r="B1" s="7">
        <v>0</v>
      </c>
      <c r="C1" s="7">
        <v>0.05</v>
      </c>
      <c r="D1" s="7">
        <v>0.1</v>
      </c>
      <c r="E1" s="7">
        <v>0.15</v>
      </c>
      <c r="F1" s="7">
        <v>0.2</v>
      </c>
      <c r="G1" s="2"/>
    </row>
    <row r="2" spans="1:17" x14ac:dyDescent="0.2">
      <c r="A2" s="2" t="s">
        <v>0</v>
      </c>
      <c r="B2" s="2">
        <v>7.76</v>
      </c>
      <c r="C2" s="2">
        <f>1.05*B2</f>
        <v>8.1479999999999997</v>
      </c>
      <c r="D2" s="2">
        <f>1.1*B2</f>
        <v>8.5359999999999996</v>
      </c>
      <c r="E2" s="2">
        <f>1.15*B2</f>
        <v>8.9239999999999995</v>
      </c>
      <c r="F2" s="2">
        <f>1.2*B2</f>
        <v>9.3119999999999994</v>
      </c>
      <c r="G2" s="2"/>
    </row>
    <row r="3" spans="1:17" x14ac:dyDescent="0.2">
      <c r="A3" s="2" t="s">
        <v>1</v>
      </c>
      <c r="B3" s="2">
        <v>8.73</v>
      </c>
      <c r="C3" s="2">
        <f t="shared" ref="C3:C5" si="0">1.05*B3</f>
        <v>9.166500000000001</v>
      </c>
      <c r="D3" s="2">
        <f t="shared" ref="D3:D5" si="1">1.1*B3</f>
        <v>9.6030000000000015</v>
      </c>
      <c r="E3" s="2">
        <f t="shared" ref="E3:E5" si="2">1.15*B3</f>
        <v>10.0395</v>
      </c>
      <c r="F3" s="2">
        <f t="shared" ref="F3:F5" si="3">1.2*B3</f>
        <v>10.476000000000001</v>
      </c>
      <c r="G3" s="2"/>
    </row>
    <row r="4" spans="1:17" x14ac:dyDescent="0.2">
      <c r="A4" s="2" t="s">
        <v>2</v>
      </c>
      <c r="B4" s="2">
        <v>0.375</v>
      </c>
      <c r="C4" s="2">
        <f t="shared" si="0"/>
        <v>0.39375000000000004</v>
      </c>
      <c r="D4" s="2">
        <f t="shared" si="1"/>
        <v>0.41250000000000003</v>
      </c>
      <c r="E4" s="2">
        <f t="shared" si="2"/>
        <v>0.43124999999999997</v>
      </c>
      <c r="F4" s="2">
        <f t="shared" si="3"/>
        <v>0.44999999999999996</v>
      </c>
      <c r="G4" s="2"/>
    </row>
    <row r="5" spans="1:17" x14ac:dyDescent="0.2">
      <c r="A5" s="2" t="s">
        <v>3</v>
      </c>
      <c r="B5" s="2">
        <v>47</v>
      </c>
      <c r="C5" s="2">
        <f t="shared" si="0"/>
        <v>49.35</v>
      </c>
      <c r="D5" s="2">
        <f t="shared" si="1"/>
        <v>51.7</v>
      </c>
      <c r="E5" s="2">
        <f t="shared" si="2"/>
        <v>54.05</v>
      </c>
      <c r="F5" s="2">
        <f t="shared" si="3"/>
        <v>56.4</v>
      </c>
      <c r="G5" s="2"/>
    </row>
    <row r="6" spans="1:17" x14ac:dyDescent="0.2">
      <c r="A6" s="2"/>
      <c r="B6" s="2"/>
      <c r="C6" s="2"/>
      <c r="D6" s="2"/>
      <c r="E6" s="2"/>
      <c r="F6" s="2"/>
      <c r="G6" s="2"/>
    </row>
    <row r="7" spans="1:17" x14ac:dyDescent="0.2">
      <c r="A7" s="2"/>
      <c r="B7" s="2"/>
      <c r="C7" s="2"/>
      <c r="D7" s="2"/>
      <c r="E7" s="2"/>
      <c r="F7" s="2"/>
      <c r="G7" s="2"/>
    </row>
    <row r="8" spans="1:17" x14ac:dyDescent="0.2">
      <c r="A8" s="2"/>
      <c r="B8" s="2"/>
      <c r="C8" s="9"/>
      <c r="D8" s="9"/>
      <c r="E8" s="9"/>
      <c r="F8" s="9"/>
      <c r="G8" s="9"/>
      <c r="H8" s="9"/>
      <c r="I8" s="9"/>
      <c r="J8" s="9"/>
    </row>
    <row r="9" spans="1:17" x14ac:dyDescent="0.2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7" x14ac:dyDescent="0.2">
      <c r="A10" s="2"/>
      <c r="B10" s="2"/>
      <c r="C10" s="2"/>
      <c r="D10" s="2"/>
      <c r="E10" s="2"/>
      <c r="F10" s="2"/>
      <c r="G10" s="5"/>
      <c r="H10" s="5"/>
      <c r="I10" s="5"/>
      <c r="J10" s="5"/>
    </row>
    <row r="11" spans="1:17" x14ac:dyDescent="0.2">
      <c r="A11" s="2"/>
      <c r="B11" s="2"/>
      <c r="C11" s="2"/>
      <c r="D11" s="2"/>
      <c r="E11" s="2"/>
      <c r="F11" s="2"/>
      <c r="G11" s="5"/>
      <c r="H11" s="5"/>
      <c r="I11" s="5"/>
      <c r="J11" s="5"/>
    </row>
    <row r="12" spans="1:17" x14ac:dyDescent="0.2">
      <c r="A12" s="2"/>
      <c r="B12" s="2"/>
      <c r="C12" s="2"/>
      <c r="D12" s="2"/>
      <c r="E12" s="2"/>
      <c r="F12" s="2"/>
      <c r="G12" s="5"/>
      <c r="H12" s="5"/>
      <c r="I12" s="5"/>
      <c r="J12" s="5"/>
    </row>
    <row r="13" spans="1:17" x14ac:dyDescent="0.2">
      <c r="A13" s="2"/>
      <c r="B13" s="2"/>
      <c r="C13" s="2"/>
      <c r="D13" s="2"/>
      <c r="E13" s="2"/>
      <c r="F13" s="2"/>
      <c r="G13" s="5"/>
      <c r="H13" s="5"/>
      <c r="I13" s="5"/>
      <c r="J13" s="5"/>
    </row>
    <row r="14" spans="1:17" x14ac:dyDescent="0.2">
      <c r="A14" s="2"/>
      <c r="B14" s="2"/>
      <c r="C14" s="2"/>
      <c r="D14" s="2"/>
      <c r="E14" s="2"/>
      <c r="F14" s="2"/>
      <c r="G14" s="5"/>
      <c r="H14" s="5"/>
      <c r="I14" s="5"/>
      <c r="J14" s="5"/>
    </row>
    <row r="15" spans="1:17" x14ac:dyDescent="0.2">
      <c r="A15" s="2" t="s">
        <v>7</v>
      </c>
      <c r="B15" s="2" t="s">
        <v>34</v>
      </c>
      <c r="C15" s="2" t="s">
        <v>0</v>
      </c>
      <c r="D15" s="2" t="s">
        <v>1</v>
      </c>
      <c r="E15" s="2" t="s">
        <v>2</v>
      </c>
      <c r="F15" s="2" t="s">
        <v>3</v>
      </c>
      <c r="G15" s="2" t="s">
        <v>23</v>
      </c>
      <c r="H15" s="2" t="s">
        <v>25</v>
      </c>
      <c r="I15" s="2" t="s">
        <v>26</v>
      </c>
      <c r="J15" s="2" t="s">
        <v>24</v>
      </c>
      <c r="K15" s="2" t="s">
        <v>34</v>
      </c>
      <c r="L15" s="2" t="s">
        <v>12</v>
      </c>
      <c r="M15" s="2" t="s">
        <v>13</v>
      </c>
      <c r="N15" s="2" t="s">
        <v>14</v>
      </c>
      <c r="O15" s="2" t="s">
        <v>15</v>
      </c>
      <c r="P15" s="2" t="s">
        <v>17</v>
      </c>
      <c r="Q15" s="3"/>
    </row>
    <row r="16" spans="1:17" x14ac:dyDescent="0.2">
      <c r="A16" s="10">
        <v>0.97</v>
      </c>
      <c r="B16" s="2">
        <v>0</v>
      </c>
      <c r="C16" s="2">
        <v>7.76</v>
      </c>
      <c r="D16" s="2">
        <v>8.73</v>
      </c>
      <c r="E16" s="2">
        <v>0.375</v>
      </c>
      <c r="F16" s="2">
        <v>47</v>
      </c>
      <c r="G16" s="5">
        <v>4913.05</v>
      </c>
      <c r="H16" s="5">
        <v>1.0185835951711593E-3</v>
      </c>
      <c r="I16" s="5">
        <v>0.12766247726145197</v>
      </c>
      <c r="J16" s="5">
        <v>1.0864891681825698E-7</v>
      </c>
      <c r="K16" s="2">
        <v>0</v>
      </c>
      <c r="L16" s="5"/>
      <c r="M16" s="5"/>
      <c r="N16" s="5"/>
      <c r="O16" s="5"/>
      <c r="P16" s="3">
        <v>2343.1349802242385</v>
      </c>
      <c r="Q16" s="3">
        <f>J16*(C16+D16+E16+F16)</f>
        <v>6.9388630725979829E-6</v>
      </c>
    </row>
    <row r="17" spans="1:17" x14ac:dyDescent="0.2">
      <c r="A17" s="10"/>
      <c r="B17" s="7">
        <v>0.05</v>
      </c>
      <c r="C17" s="2">
        <v>8.1479999999999997</v>
      </c>
      <c r="D17" s="2">
        <v>9.1664999999999992</v>
      </c>
      <c r="E17" s="2">
        <v>0.39374999999999999</v>
      </c>
      <c r="F17" s="2">
        <v>49.35</v>
      </c>
      <c r="G17" s="5">
        <v>4913.05</v>
      </c>
      <c r="H17" s="5">
        <f>E17*J17/(40*10^-6)</f>
        <v>1.0695127749297173E-3</v>
      </c>
      <c r="I17" s="5">
        <f>F17*J17/(40*10^-6)</f>
        <v>0.13404560112452457</v>
      </c>
      <c r="J17" s="5">
        <v>1.0864891681825698E-7</v>
      </c>
      <c r="K17" s="7">
        <v>0.05</v>
      </c>
      <c r="L17" s="5">
        <f>91.42*C17+72.8*D17+59.17*E17+56.13*F17</f>
        <v>4205.5250475000003</v>
      </c>
      <c r="M17" s="5">
        <f>97.47*C17+77.95*D17+62.96*E17+59.73*F17</f>
        <v>4481.1802349999998</v>
      </c>
      <c r="N17" s="4">
        <f>103.56*C17+83.16*D17+66.77*E17+63.36*F17</f>
        <v>4759.1997074999999</v>
      </c>
      <c r="O17" s="4">
        <f>109.66*C17+88.42*D17+70.61*E17+66.99*F17</f>
        <v>5037.7707974999994</v>
      </c>
      <c r="P17" s="2">
        <f>(G17-N17)*100/(O17-N17)+2200</f>
        <v>2255.2283772519254</v>
      </c>
      <c r="Q17" s="3">
        <f t="shared" ref="Q17:Q20" si="4">J17*(C17+D17+E17+F17)</f>
        <v>7.2858062262278816E-6</v>
      </c>
    </row>
    <row r="18" spans="1:17" x14ac:dyDescent="0.2">
      <c r="A18" s="10"/>
      <c r="B18" s="7">
        <v>0.1</v>
      </c>
      <c r="C18" s="2">
        <v>8.5359999999999996</v>
      </c>
      <c r="D18" s="2">
        <v>9.6029999999999998</v>
      </c>
      <c r="E18" s="2">
        <v>0.41249999999999998</v>
      </c>
      <c r="F18" s="2">
        <v>51.7</v>
      </c>
      <c r="G18" s="5">
        <v>4913.05</v>
      </c>
      <c r="H18" s="5">
        <f>E18*J18/(40*10^-6)</f>
        <v>1.1204419546882753E-3</v>
      </c>
      <c r="I18" s="5">
        <f>F18*J18/(40*10^-6)</f>
        <v>0.14042872498759718</v>
      </c>
      <c r="J18" s="5">
        <v>1.0864891681825698E-7</v>
      </c>
      <c r="K18" s="7">
        <v>0.1</v>
      </c>
      <c r="L18" s="5">
        <f t="shared" ref="L18:L20" si="5">91.42*C18+72.8*D18+59.17*E18+56.13*F18</f>
        <v>4405.7881450000004</v>
      </c>
      <c r="M18" s="5">
        <f t="shared" ref="M18:M20" si="6">97.47*C18+77.95*D18+62.96*E18+59.73*F18</f>
        <v>4694.5697700000001</v>
      </c>
      <c r="N18" s="4">
        <f t="shared" ref="N18:N20" si="7">103.56*C18+83.16*D18+66.77*E18+63.36*F18</f>
        <v>4985.8282650000001</v>
      </c>
      <c r="O18" s="4">
        <f t="shared" ref="O18:O20" si="8">109.66*C18+88.42*D18+70.61*E18+66.99*F18</f>
        <v>5277.6646449999998</v>
      </c>
      <c r="P18" s="2">
        <f>(G18-N18)*100/(O18-N18)+2200</f>
        <v>2175.0619628025815</v>
      </c>
      <c r="Q18" s="3">
        <f t="shared" si="4"/>
        <v>7.6327493798577812E-6</v>
      </c>
    </row>
    <row r="19" spans="1:17" x14ac:dyDescent="0.2">
      <c r="A19" s="10"/>
      <c r="B19" s="7">
        <v>0.15</v>
      </c>
      <c r="C19" s="2">
        <v>8.9239999999999995</v>
      </c>
      <c r="D19" s="2">
        <v>10.0395</v>
      </c>
      <c r="E19" s="2">
        <v>0.43125000000000002</v>
      </c>
      <c r="F19" s="2">
        <v>54.05</v>
      </c>
      <c r="G19" s="5">
        <v>4913.05</v>
      </c>
      <c r="H19" s="5">
        <f>E19*J19/(40*10^-6)</f>
        <v>1.1713711344468333E-3</v>
      </c>
      <c r="I19" s="5">
        <f>F19*J19/(40*10^-6)</f>
        <v>0.14681184885066975</v>
      </c>
      <c r="J19" s="5">
        <v>1.0864891681825698E-7</v>
      </c>
      <c r="K19" s="7">
        <v>0.15</v>
      </c>
      <c r="L19" s="5">
        <f t="shared" si="5"/>
        <v>4606.0512424999997</v>
      </c>
      <c r="M19" s="4">
        <f t="shared" si="6"/>
        <v>4907.9593049999994</v>
      </c>
      <c r="N19" s="4">
        <f t="shared" si="7"/>
        <v>5212.4568224999994</v>
      </c>
      <c r="O19" s="5">
        <f t="shared" si="8"/>
        <v>5517.5584924999994</v>
      </c>
      <c r="P19" s="2">
        <f>(G19-M19)*100/(N19-M19)+2100</f>
        <v>2101.6718346480448</v>
      </c>
      <c r="Q19" s="3">
        <f t="shared" si="4"/>
        <v>7.97969253348768E-6</v>
      </c>
    </row>
    <row r="20" spans="1:17" x14ac:dyDescent="0.2">
      <c r="A20" s="10"/>
      <c r="B20" s="7">
        <v>0.2</v>
      </c>
      <c r="C20" s="2">
        <v>9.3119999999999994</v>
      </c>
      <c r="D20" s="2">
        <v>10.476000000000001</v>
      </c>
      <c r="E20" s="2">
        <v>0.45</v>
      </c>
      <c r="F20" s="2">
        <v>56.4</v>
      </c>
      <c r="G20" s="5">
        <v>4913.05</v>
      </c>
      <c r="H20" s="5">
        <f>E20*J20/(40*10^-6)</f>
        <v>1.2223003142053913E-3</v>
      </c>
      <c r="I20" s="5">
        <f>F20*J20/(40*10^-6)</f>
        <v>0.15319497271374236</v>
      </c>
      <c r="J20" s="5">
        <v>1.0864891681825698E-7</v>
      </c>
      <c r="K20" s="7">
        <v>0.2</v>
      </c>
      <c r="L20" s="4">
        <f t="shared" si="5"/>
        <v>4806.3143399999999</v>
      </c>
      <c r="M20" s="4">
        <f t="shared" si="6"/>
        <v>5121.3488400000006</v>
      </c>
      <c r="N20" s="5">
        <f t="shared" si="7"/>
        <v>5439.0853799999995</v>
      </c>
      <c r="O20" s="5">
        <f t="shared" si="8"/>
        <v>5757.4523399999998</v>
      </c>
      <c r="P20" s="3">
        <f>(G20-L20)*100/(M20-L20)+2000</f>
        <v>2033.8806257727329</v>
      </c>
      <c r="Q20" s="3">
        <f t="shared" si="4"/>
        <v>8.3266356871175788E-6</v>
      </c>
    </row>
    <row r="21" spans="1:17" x14ac:dyDescent="0.2">
      <c r="A21" s="2"/>
      <c r="B21" s="2"/>
      <c r="C21" s="2"/>
      <c r="D21" s="2"/>
      <c r="E21" s="2"/>
      <c r="F21" s="2"/>
      <c r="G21" s="5"/>
      <c r="H21" s="5"/>
      <c r="I21" s="5"/>
      <c r="J21" s="2"/>
    </row>
    <row r="22" spans="1:17" x14ac:dyDescent="0.2">
      <c r="A22" s="2"/>
      <c r="B22" s="2"/>
      <c r="C22" s="2"/>
      <c r="D22" s="2"/>
      <c r="E22" s="2"/>
      <c r="F22" s="2"/>
      <c r="G22" s="5"/>
      <c r="H22" s="5"/>
      <c r="I22" s="5"/>
      <c r="J22" s="2"/>
    </row>
    <row r="23" spans="1:17" x14ac:dyDescent="0.2">
      <c r="A23" s="2"/>
      <c r="B23" s="2"/>
      <c r="C23" s="2"/>
      <c r="D23" s="2"/>
      <c r="E23" s="2"/>
      <c r="F23" s="2"/>
      <c r="G23" s="5"/>
      <c r="H23" s="5"/>
      <c r="I23" s="5"/>
      <c r="J23" s="2"/>
    </row>
    <row r="24" spans="1:17" x14ac:dyDescent="0.2">
      <c r="A24" s="1"/>
      <c r="B24" s="1"/>
      <c r="C24" s="1"/>
      <c r="D24" s="1"/>
      <c r="E24" s="1"/>
      <c r="F24" s="1"/>
      <c r="G24" s="1"/>
    </row>
    <row r="25" spans="1:17" x14ac:dyDescent="0.2">
      <c r="B25" s="1"/>
      <c r="C25" s="9">
        <v>0</v>
      </c>
      <c r="D25" s="9"/>
      <c r="E25" s="11">
        <v>0.05</v>
      </c>
      <c r="F25" s="11"/>
      <c r="G25" s="11">
        <v>0.1</v>
      </c>
      <c r="H25" s="11"/>
      <c r="I25" s="11">
        <v>0.15</v>
      </c>
      <c r="J25" s="11"/>
      <c r="K25" s="11">
        <v>0.2</v>
      </c>
      <c r="L25" s="11"/>
      <c r="M25" s="3"/>
      <c r="N25" s="3"/>
      <c r="O25" s="3"/>
    </row>
    <row r="26" spans="1:17" x14ac:dyDescent="0.2">
      <c r="A26" s="3" t="s">
        <v>27</v>
      </c>
      <c r="B26" s="2" t="s">
        <v>28</v>
      </c>
      <c r="C26" s="2" t="s">
        <v>29</v>
      </c>
      <c r="D26" s="2" t="s">
        <v>36</v>
      </c>
      <c r="E26" s="2" t="s">
        <v>29</v>
      </c>
      <c r="F26" s="2" t="s">
        <v>36</v>
      </c>
      <c r="G26" s="2" t="s">
        <v>29</v>
      </c>
      <c r="H26" s="2" t="s">
        <v>36</v>
      </c>
      <c r="I26" s="2" t="s">
        <v>29</v>
      </c>
      <c r="J26" s="2" t="s">
        <v>36</v>
      </c>
      <c r="K26" s="2" t="s">
        <v>29</v>
      </c>
      <c r="L26" s="2" t="s">
        <v>36</v>
      </c>
      <c r="M26" s="3"/>
      <c r="N26" s="3"/>
    </row>
    <row r="27" spans="1:17" x14ac:dyDescent="0.2">
      <c r="A27" s="3">
        <v>0</v>
      </c>
      <c r="B27" s="2">
        <v>10</v>
      </c>
      <c r="C27" s="2">
        <v>2343.1349802242385</v>
      </c>
      <c r="D27" s="2">
        <f>174074.0741*0.127662477*SQRT(0.00101858)*EXP(-67837/C27)</f>
        <v>1.8939509393414328E-10</v>
      </c>
      <c r="E27" s="2">
        <v>2255.2283772519254</v>
      </c>
      <c r="F27" s="2">
        <f>174074.0741*0.134045601*SQRT(0.00106951)*EXP(-67837/E27)</f>
        <v>6.5925432001215243E-11</v>
      </c>
      <c r="G27" s="2">
        <v>2175.0619628025815</v>
      </c>
      <c r="H27" s="2">
        <f>174074.0741*0.140428725*SQRT(0.00112044)*EXP(-67837/G27)</f>
        <v>2.3327861702197142E-11</v>
      </c>
      <c r="I27" s="2">
        <v>2101.6718350000001</v>
      </c>
      <c r="J27" s="2">
        <f>174074.0741*0.146811849*SQRT(0.001171371)*EXP(-67837/I27)</f>
        <v>8.391564145273785E-12</v>
      </c>
      <c r="K27" s="3">
        <v>2033.8806259999999</v>
      </c>
      <c r="L27" s="3">
        <f>174074.0741*0.153194973*SQRT(0.0012223)*EXP(-67837/K27)</f>
        <v>3.0502435023780753E-12</v>
      </c>
      <c r="M27" s="3"/>
      <c r="N27" s="3"/>
    </row>
    <row r="28" spans="1:17" x14ac:dyDescent="0.2">
      <c r="A28" s="3">
        <v>1</v>
      </c>
      <c r="B28" s="2">
        <v>12</v>
      </c>
      <c r="C28" s="3">
        <f>(B28/10)^(0.17/1.17)*2343.13498</f>
        <v>2406.0368519914859</v>
      </c>
      <c r="D28" s="2">
        <f t="shared" ref="D28:D42" si="9">174074.0741*0.127662477*SQRT(0.00101858)*EXP(-67837/C28)</f>
        <v>4.0371998642543135E-10</v>
      </c>
      <c r="E28" s="3">
        <f>(B28/10)^(0.17/1.17)*2255.22838</f>
        <v>2315.7703838030957</v>
      </c>
      <c r="F28" s="2">
        <f t="shared" ref="F28:F41" si="10">174074.0741*0.134045601*SQRT(0.00106951)*EXP(-67837/E28)</f>
        <v>1.4473627154162516E-10</v>
      </c>
      <c r="G28" s="3">
        <f>(B28/10)^(0.17/1.17)*2175.06196</f>
        <v>2233.4518821125839</v>
      </c>
      <c r="H28" s="2">
        <f t="shared" ref="H28:H41" si="11">174074.0741*0.140428725*SQRT(0.00112044)*EXP(-67837/G28)</f>
        <v>5.2721393957282044E-11</v>
      </c>
      <c r="I28" s="3">
        <f>(B28/10)^(0.17/1.17)*2101.67184</f>
        <v>2158.0915913912709</v>
      </c>
      <c r="J28" s="2">
        <f t="shared" ref="J28:J41" si="12">174074.0741*0.146811849*SQRT(0.001171371)*EXP(-67837/I28)</f>
        <v>1.9512839310039559E-11</v>
      </c>
      <c r="K28" s="3">
        <f>(B28/10)^(0.17/1.17)*2033.88063</f>
        <v>2088.4805143968533</v>
      </c>
      <c r="L28" s="3">
        <f t="shared" ref="L28:L42" si="13">174074.0741*0.153194973*SQRT(0.0012223)*EXP(-67837/K28)</f>
        <v>7.2950303920842779E-12</v>
      </c>
      <c r="M28" s="3"/>
      <c r="N28" s="3"/>
    </row>
    <row r="29" spans="1:17" x14ac:dyDescent="0.2">
      <c r="A29" s="3">
        <v>2</v>
      </c>
      <c r="B29" s="2">
        <v>14</v>
      </c>
      <c r="C29" s="3">
        <f t="shared" ref="C29:C42" si="14">(B29/10)^(0.17/1.17)*2343.13498</f>
        <v>2460.535221921245</v>
      </c>
      <c r="D29" s="2">
        <f t="shared" si="9"/>
        <v>7.5385585557994611E-10</v>
      </c>
      <c r="E29" s="3">
        <f t="shared" ref="E29:E42" si="15">(B29/10)^(0.17/1.17)*2255.22838</f>
        <v>2368.2241568799382</v>
      </c>
      <c r="F29" s="2">
        <f t="shared" si="10"/>
        <v>2.7692162337904685E-10</v>
      </c>
      <c r="G29" s="3">
        <f t="shared" ref="G29:G42" si="16">(B29/10)^(0.17/1.17)*2175.06196</f>
        <v>2284.04108517942</v>
      </c>
      <c r="H29" s="2">
        <f t="shared" si="11"/>
        <v>1.0331227855714139E-10</v>
      </c>
      <c r="I29" s="3">
        <f t="shared" ref="I29:I42" si="17">(B29/10)^(0.17/1.17)*2101.67184</f>
        <v>2206.9738326556126</v>
      </c>
      <c r="J29" s="2">
        <f t="shared" si="12"/>
        <v>3.9146045011847359E-11</v>
      </c>
      <c r="K29" s="3">
        <f t="shared" ref="K29:K42" si="18">(B29/10)^(0.17/1.17)*2033.88063</f>
        <v>2135.7860174569937</v>
      </c>
      <c r="L29" s="3">
        <f t="shared" si="13"/>
        <v>1.4978651881398401E-11</v>
      </c>
      <c r="M29" s="3"/>
      <c r="N29" s="3"/>
    </row>
    <row r="30" spans="1:17" x14ac:dyDescent="0.2">
      <c r="A30" s="3">
        <v>3</v>
      </c>
      <c r="B30" s="2">
        <v>16</v>
      </c>
      <c r="C30" s="3">
        <f t="shared" si="14"/>
        <v>2508.7406480411714</v>
      </c>
      <c r="D30" s="2">
        <f t="shared" si="9"/>
        <v>1.2804396702881779E-9</v>
      </c>
      <c r="E30" s="3">
        <f t="shared" si="15"/>
        <v>2414.6210763846143</v>
      </c>
      <c r="F30" s="2">
        <f t="shared" si="10"/>
        <v>4.8017065218784165E-10</v>
      </c>
      <c r="G30" s="3">
        <f t="shared" si="16"/>
        <v>2328.7887371559368</v>
      </c>
      <c r="H30" s="2">
        <f t="shared" si="11"/>
        <v>1.828104225620164E-10</v>
      </c>
      <c r="I30" s="3">
        <f t="shared" si="17"/>
        <v>2250.2116262424975</v>
      </c>
      <c r="J30" s="2">
        <f t="shared" si="12"/>
        <v>7.0662949384368026E-11</v>
      </c>
      <c r="K30" s="3">
        <f t="shared" si="18"/>
        <v>2177.6291392929429</v>
      </c>
      <c r="L30" s="3">
        <f t="shared" si="13"/>
        <v>2.7575672905067961E-11</v>
      </c>
      <c r="M30" s="3"/>
      <c r="N30" s="3"/>
    </row>
    <row r="31" spans="1:17" x14ac:dyDescent="0.2">
      <c r="A31" s="3">
        <v>4</v>
      </c>
      <c r="B31" s="2">
        <v>18</v>
      </c>
      <c r="C31" s="3">
        <f t="shared" si="14"/>
        <v>2552.0441558875218</v>
      </c>
      <c r="D31" s="2">
        <f t="shared" si="9"/>
        <v>2.0259264961783523E-9</v>
      </c>
      <c r="E31" s="3">
        <f t="shared" si="15"/>
        <v>2456.2999812203238</v>
      </c>
      <c r="F31" s="2">
        <f t="shared" si="10"/>
        <v>7.7344122090754516E-10</v>
      </c>
      <c r="G31" s="3">
        <f t="shared" si="16"/>
        <v>2368.9860853476139</v>
      </c>
      <c r="H31" s="2">
        <f t="shared" si="11"/>
        <v>2.9968377929386763E-10</v>
      </c>
      <c r="I31" s="3">
        <f t="shared" si="17"/>
        <v>2289.0526506780143</v>
      </c>
      <c r="J31" s="2">
        <f t="shared" si="12"/>
        <v>1.1785554625893756E-10</v>
      </c>
      <c r="K31" s="3">
        <f t="shared" si="18"/>
        <v>2215.2173135003654</v>
      </c>
      <c r="L31" s="3">
        <f t="shared" si="13"/>
        <v>4.6783114813534007E-11</v>
      </c>
      <c r="M31" s="3"/>
      <c r="N31" s="3"/>
    </row>
    <row r="32" spans="1:17" x14ac:dyDescent="0.2">
      <c r="A32" s="3">
        <v>5</v>
      </c>
      <c r="B32" s="2">
        <v>20</v>
      </c>
      <c r="C32" s="3">
        <f t="shared" si="14"/>
        <v>2591.4134505862298</v>
      </c>
      <c r="D32" s="2">
        <f t="shared" si="9"/>
        <v>3.0339271370761442E-9</v>
      </c>
      <c r="E32" s="3">
        <f t="shared" si="15"/>
        <v>2494.1922714481407</v>
      </c>
      <c r="F32" s="2">
        <f t="shared" si="10"/>
        <v>1.1766437018624318E-9</v>
      </c>
      <c r="G32" s="3">
        <f t="shared" si="16"/>
        <v>2405.531421413225</v>
      </c>
      <c r="H32" s="2">
        <f t="shared" si="11"/>
        <v>4.630169682918949E-10</v>
      </c>
      <c r="I32" s="3">
        <f t="shared" si="17"/>
        <v>2324.3648878027125</v>
      </c>
      <c r="J32" s="2">
        <f t="shared" si="12"/>
        <v>1.8487629774376336E-10</v>
      </c>
      <c r="K32" s="3">
        <f t="shared" si="18"/>
        <v>2249.3905244284288</v>
      </c>
      <c r="L32" s="3">
        <f t="shared" si="13"/>
        <v>7.449679494254669E-11</v>
      </c>
      <c r="M32" s="3"/>
      <c r="N32" s="3"/>
    </row>
    <row r="33" spans="1:14" x14ac:dyDescent="0.2">
      <c r="A33" s="3">
        <v>6</v>
      </c>
      <c r="B33" s="2">
        <v>22</v>
      </c>
      <c r="C33" s="3">
        <f t="shared" si="14"/>
        <v>2627.5502502747454</v>
      </c>
      <c r="D33" s="2">
        <f t="shared" si="9"/>
        <v>4.3487110295107572E-9</v>
      </c>
      <c r="E33" s="3">
        <f t="shared" si="15"/>
        <v>2528.9733390842507</v>
      </c>
      <c r="F33" s="2">
        <f t="shared" si="10"/>
        <v>1.7103892521391435E-9</v>
      </c>
      <c r="G33" s="3">
        <f t="shared" si="16"/>
        <v>2439.076129263829</v>
      </c>
      <c r="H33" s="2">
        <f t="shared" si="11"/>
        <v>6.8239262168870726E-10</v>
      </c>
      <c r="I33" s="3">
        <f t="shared" si="17"/>
        <v>2356.7777427774927</v>
      </c>
      <c r="J33" s="2">
        <f t="shared" si="12"/>
        <v>2.7618523968058146E-10</v>
      </c>
      <c r="K33" s="3">
        <f t="shared" si="18"/>
        <v>2280.7578752400591</v>
      </c>
      <c r="L33" s="3">
        <f t="shared" si="13"/>
        <v>1.1278907794608393E-10</v>
      </c>
      <c r="M33" s="3"/>
      <c r="N33" s="3"/>
    </row>
    <row r="34" spans="1:14" x14ac:dyDescent="0.2">
      <c r="A34" s="3">
        <v>7</v>
      </c>
      <c r="B34" s="2">
        <v>24</v>
      </c>
      <c r="C34" s="3">
        <f t="shared" si="14"/>
        <v>2660.9804019301037</v>
      </c>
      <c r="D34" s="2">
        <f t="shared" si="9"/>
        <v>6.0148311049347308E-9</v>
      </c>
      <c r="E34" s="3">
        <f t="shared" si="15"/>
        <v>2561.1493030830761</v>
      </c>
      <c r="F34" s="2">
        <f t="shared" si="10"/>
        <v>2.3957888737126585E-9</v>
      </c>
      <c r="G34" s="3">
        <f t="shared" si="16"/>
        <v>2470.1083368844929</v>
      </c>
      <c r="H34" s="2">
        <f t="shared" si="11"/>
        <v>9.6779209892361476E-10</v>
      </c>
      <c r="I34" s="3">
        <f t="shared" si="17"/>
        <v>2386.7628733571214</v>
      </c>
      <c r="J34" s="2">
        <f t="shared" si="12"/>
        <v>3.9650368419721496E-10</v>
      </c>
      <c r="K34" s="3">
        <f t="shared" si="18"/>
        <v>2309.7758099685975</v>
      </c>
      <c r="L34" s="3">
        <f t="shared" si="13"/>
        <v>1.6388844299497511E-10</v>
      </c>
      <c r="M34" s="3"/>
      <c r="N34" s="3"/>
    </row>
    <row r="35" spans="1:14" x14ac:dyDescent="0.2">
      <c r="A35" s="3">
        <v>8</v>
      </c>
      <c r="B35" s="2">
        <v>26</v>
      </c>
      <c r="C35" s="3">
        <f t="shared" si="14"/>
        <v>2692.1086305070476</v>
      </c>
      <c r="D35" s="2">
        <f t="shared" si="9"/>
        <v>8.0768395196872181E-9</v>
      </c>
      <c r="E35" s="3">
        <f t="shared" si="15"/>
        <v>2591.1097044705584</v>
      </c>
      <c r="F35" s="2">
        <f t="shared" si="10"/>
        <v>3.2542924444557275E-9</v>
      </c>
      <c r="G35" s="3">
        <f t="shared" si="16"/>
        <v>2499.0037383179588</v>
      </c>
      <c r="H35" s="2">
        <f t="shared" si="11"/>
        <v>1.3295124035591299E-9</v>
      </c>
      <c r="I35" s="3">
        <f t="shared" si="17"/>
        <v>2414.6832970576997</v>
      </c>
      <c r="J35" s="2">
        <f t="shared" si="12"/>
        <v>5.507739098129969E-10</v>
      </c>
      <c r="K35" s="3">
        <f t="shared" si="18"/>
        <v>2336.7956366918784</v>
      </c>
      <c r="L35" s="3">
        <f t="shared" si="13"/>
        <v>2.3016096085387238E-10</v>
      </c>
      <c r="M35" s="3"/>
      <c r="N35" s="3"/>
    </row>
    <row r="36" spans="1:14" x14ac:dyDescent="0.2">
      <c r="A36" s="3">
        <v>9</v>
      </c>
      <c r="B36" s="2">
        <v>28</v>
      </c>
      <c r="C36" s="3">
        <f t="shared" si="14"/>
        <v>2721.2534165350939</v>
      </c>
      <c r="D36" s="2">
        <f t="shared" si="9"/>
        <v>1.0579071755745258E-8</v>
      </c>
      <c r="E36" s="3">
        <f t="shared" si="15"/>
        <v>2619.1610754502522</v>
      </c>
      <c r="F36" s="2">
        <f t="shared" si="10"/>
        <v>4.3075593166710739E-9</v>
      </c>
      <c r="G36" s="3">
        <f t="shared" si="16"/>
        <v>2526.057969492444</v>
      </c>
      <c r="H36" s="2">
        <f t="shared" si="11"/>
        <v>1.77809655608497E-9</v>
      </c>
      <c r="I36" s="3">
        <f t="shared" si="17"/>
        <v>2440.8246745714996</v>
      </c>
      <c r="J36" s="2">
        <f t="shared" si="12"/>
        <v>7.4412413956656041E-10</v>
      </c>
      <c r="K36" s="3">
        <f t="shared" si="18"/>
        <v>2362.0938018739535</v>
      </c>
      <c r="L36" s="3">
        <f t="shared" si="13"/>
        <v>3.1409362451860251E-10</v>
      </c>
      <c r="M36" s="3"/>
      <c r="N36" s="3"/>
    </row>
    <row r="37" spans="1:14" x14ac:dyDescent="0.2">
      <c r="A37" s="3">
        <v>10</v>
      </c>
      <c r="B37" s="2">
        <v>30</v>
      </c>
      <c r="C37" s="3">
        <f t="shared" si="14"/>
        <v>2748.6700989567003</v>
      </c>
      <c r="D37" s="2">
        <f t="shared" si="9"/>
        <v>1.3565482653074449E-8</v>
      </c>
      <c r="E37" s="3">
        <f t="shared" si="15"/>
        <v>2645.5491755001494</v>
      </c>
      <c r="F37" s="2">
        <f t="shared" si="10"/>
        <v>5.5773539767183362E-9</v>
      </c>
      <c r="G37" s="3">
        <f t="shared" si="16"/>
        <v>2551.5080538937432</v>
      </c>
      <c r="H37" s="2">
        <f t="shared" si="11"/>
        <v>2.3242751228238304E-9</v>
      </c>
      <c r="I37" s="3">
        <f t="shared" si="17"/>
        <v>2465.4160318272875</v>
      </c>
      <c r="J37" s="2">
        <f t="shared" si="12"/>
        <v>9.8183812589307508E-10</v>
      </c>
      <c r="K37" s="3">
        <f t="shared" si="18"/>
        <v>2385.8919440177606</v>
      </c>
      <c r="L37" s="3">
        <f t="shared" si="13"/>
        <v>4.1827940850045145E-10</v>
      </c>
      <c r="M37" s="3"/>
      <c r="N37" s="3"/>
    </row>
    <row r="38" spans="1:14" x14ac:dyDescent="0.2">
      <c r="A38" s="3">
        <v>11</v>
      </c>
      <c r="B38" s="2">
        <v>32</v>
      </c>
      <c r="C38" s="3">
        <f t="shared" si="14"/>
        <v>2774.5666873046748</v>
      </c>
      <c r="D38" s="2">
        <f t="shared" si="9"/>
        <v>1.7079522227922565E-8</v>
      </c>
      <c r="E38" s="3">
        <f t="shared" si="15"/>
        <v>2670.474210329995</v>
      </c>
      <c r="F38" s="2">
        <f t="shared" si="10"/>
        <v>7.0854617167653514E-9</v>
      </c>
      <c r="G38" s="3">
        <f t="shared" si="16"/>
        <v>2575.547080535503</v>
      </c>
      <c r="H38" s="2">
        <f t="shared" si="11"/>
        <v>2.978917004051171E-9</v>
      </c>
      <c r="I38" s="3">
        <f t="shared" si="17"/>
        <v>2488.6439427020637</v>
      </c>
      <c r="J38" s="2">
        <f t="shared" si="12"/>
        <v>1.2693287218491615E-9</v>
      </c>
      <c r="K38" s="3">
        <f t="shared" si="18"/>
        <v>2408.3706189014538</v>
      </c>
      <c r="L38" s="3">
        <f t="shared" si="13"/>
        <v>5.4540390550982928E-10</v>
      </c>
      <c r="M38" s="3"/>
      <c r="N38" s="3"/>
    </row>
    <row r="39" spans="1:14" x14ac:dyDescent="0.2">
      <c r="A39" s="3">
        <v>12</v>
      </c>
      <c r="B39" s="2">
        <v>34</v>
      </c>
      <c r="C39" s="3">
        <f t="shared" si="14"/>
        <v>2799.1149894456798</v>
      </c>
      <c r="D39" s="2">
        <f t="shared" si="9"/>
        <v>2.1164042205340229E-8</v>
      </c>
      <c r="E39" s="3">
        <f t="shared" si="15"/>
        <v>2694.1015421490138</v>
      </c>
      <c r="F39" s="2">
        <f t="shared" si="10"/>
        <v>8.8536203813317917E-9</v>
      </c>
      <c r="G39" s="3">
        <f t="shared" si="16"/>
        <v>2598.3345335099302</v>
      </c>
      <c r="H39" s="2">
        <f t="shared" si="11"/>
        <v>3.7529879262597254E-9</v>
      </c>
      <c r="I39" s="3">
        <f t="shared" si="17"/>
        <v>2510.6625100359702</v>
      </c>
      <c r="J39" s="2">
        <f t="shared" si="12"/>
        <v>1.6121148918668873E-9</v>
      </c>
      <c r="K39" s="3">
        <f t="shared" si="18"/>
        <v>2429.6789586471982</v>
      </c>
      <c r="L39" s="3">
        <f t="shared" si="13"/>
        <v>6.9823338466234825E-10</v>
      </c>
      <c r="M39" s="3"/>
      <c r="N39" s="3"/>
    </row>
    <row r="40" spans="1:14" x14ac:dyDescent="0.2">
      <c r="A40" s="3">
        <v>13</v>
      </c>
      <c r="B40" s="2">
        <v>36</v>
      </c>
      <c r="C40" s="3">
        <f t="shared" si="14"/>
        <v>2822.4586327745001</v>
      </c>
      <c r="D40" s="2">
        <f t="shared" si="9"/>
        <v>2.5861226419878247E-8</v>
      </c>
      <c r="E40" s="3">
        <f t="shared" si="15"/>
        <v>2716.5694099317539</v>
      </c>
      <c r="F40" s="2">
        <f t="shared" si="10"/>
        <v>1.0903465099375232E-8</v>
      </c>
      <c r="G40" s="3">
        <f t="shared" si="16"/>
        <v>2620.0037378219777</v>
      </c>
      <c r="H40" s="2">
        <f t="shared" si="11"/>
        <v>4.6575153653527555E-9</v>
      </c>
      <c r="I40" s="3">
        <f t="shared" si="17"/>
        <v>2531.6005602319456</v>
      </c>
      <c r="J40" s="2">
        <f t="shared" si="12"/>
        <v>2.0158016881919241E-9</v>
      </c>
      <c r="K40" s="3">
        <f t="shared" si="18"/>
        <v>2449.9416342529016</v>
      </c>
      <c r="L40" s="3">
        <f t="shared" si="13"/>
        <v>8.7960412150138698E-10</v>
      </c>
      <c r="M40" s="3"/>
      <c r="N40" s="3"/>
    </row>
    <row r="41" spans="1:14" x14ac:dyDescent="0.2">
      <c r="A41" s="3">
        <v>14</v>
      </c>
      <c r="B41" s="2">
        <v>38</v>
      </c>
      <c r="C41" s="3">
        <f t="shared" si="14"/>
        <v>2844.7189681649015</v>
      </c>
      <c r="D41" s="2">
        <f t="shared" si="9"/>
        <v>3.121253986829021E-8</v>
      </c>
      <c r="E41" s="3">
        <f t="shared" si="15"/>
        <v>2737.9946118724251</v>
      </c>
      <c r="F41" s="2">
        <f t="shared" si="10"/>
        <v>1.3256483562203429E-8</v>
      </c>
      <c r="G41" s="3">
        <f t="shared" si="16"/>
        <v>2640.6673398499343</v>
      </c>
      <c r="H41" s="2">
        <f t="shared" si="11"/>
        <v>5.7035588569699166E-9</v>
      </c>
      <c r="I41" s="3">
        <f t="shared" si="17"/>
        <v>2551.5669387966846</v>
      </c>
      <c r="J41" s="2">
        <f t="shared" si="12"/>
        <v>2.4860627860214339E-9</v>
      </c>
      <c r="K41" s="3">
        <f t="shared" si="18"/>
        <v>2469.2639803210059</v>
      </c>
      <c r="L41" s="3">
        <f t="shared" si="13"/>
        <v>1.0924128612641273E-9</v>
      </c>
      <c r="M41" s="3"/>
      <c r="N41" s="3"/>
    </row>
    <row r="42" spans="1:14" x14ac:dyDescent="0.2">
      <c r="A42" s="2">
        <v>15</v>
      </c>
      <c r="B42" s="2">
        <v>40</v>
      </c>
      <c r="C42" s="2">
        <f t="shared" si="14"/>
        <v>2865.9994960594331</v>
      </c>
      <c r="D42" s="2">
        <f t="shared" si="9"/>
        <v>3.7258692404824128E-8</v>
      </c>
      <c r="E42" s="2">
        <f t="shared" si="15"/>
        <v>2758.476765422593</v>
      </c>
      <c r="F42" s="2">
        <f>174074.0741*0.134045601*SQRT(0.00106951)*EXP(-67837/E42)</f>
        <v>1.5933979907792188E-8</v>
      </c>
      <c r="G42" s="2">
        <f t="shared" si="16"/>
        <v>2660.421415951907</v>
      </c>
      <c r="H42" s="2">
        <f>174074.0741*0.140428725*SQRT(0.00112044)*EXP(-67837/G42)</f>
        <v>6.9021848359188148E-9</v>
      </c>
      <c r="I42" s="2">
        <f t="shared" si="17"/>
        <v>2570.6544803160687</v>
      </c>
      <c r="J42" s="2">
        <f>174074.0741*0.146811849*SQRT(0.001171371)*EXP(-67837/I42)</f>
        <v>3.0286252292868328E-9</v>
      </c>
      <c r="K42" s="2">
        <f t="shared" si="18"/>
        <v>2487.7358369789872</v>
      </c>
      <c r="L42" s="2">
        <f t="shared" si="13"/>
        <v>1.3396082897901243E-9</v>
      </c>
      <c r="M42" s="3"/>
      <c r="N42" s="3"/>
    </row>
    <row r="43" spans="1:14" x14ac:dyDescent="0.2">
      <c r="A43" s="2"/>
      <c r="B43" s="2"/>
      <c r="C43" s="9">
        <v>0</v>
      </c>
      <c r="D43" s="9"/>
      <c r="E43" s="11">
        <v>0.05</v>
      </c>
      <c r="F43" s="11"/>
      <c r="G43" s="11">
        <v>0.1</v>
      </c>
      <c r="H43" s="11"/>
      <c r="I43" s="11">
        <v>0.15</v>
      </c>
      <c r="J43" s="11"/>
      <c r="K43" s="11">
        <v>0.2</v>
      </c>
      <c r="L43" s="11"/>
      <c r="M43" s="3"/>
      <c r="N43" s="3"/>
    </row>
    <row r="44" spans="1:14" x14ac:dyDescent="0.2">
      <c r="A44" s="2" t="s">
        <v>35</v>
      </c>
      <c r="B44" s="2"/>
      <c r="C44" s="2"/>
      <c r="D44" s="2">
        <f>SUM(D27:D42)</f>
        <v>1.8284822342868998E-7</v>
      </c>
      <c r="E44" s="2"/>
      <c r="F44" s="2">
        <f>SUM(F27:F42)</f>
        <v>7.6196233433044629E-8</v>
      </c>
      <c r="G44" s="2"/>
      <c r="H44" s="2">
        <f t="shared" ref="H44" si="19">SUM(H27:H42)</f>
        <v>3.2202105495997033E-8</v>
      </c>
      <c r="I44" s="2"/>
      <c r="J44" s="2">
        <f t="shared" ref="J44" si="20">SUM(J27:J42)</f>
        <v>1.3801803658220898E-8</v>
      </c>
      <c r="K44" s="2"/>
      <c r="L44" s="2">
        <f t="shared" ref="L44" si="21">SUM(L27:L42)</f>
        <v>5.9686535859788113E-9</v>
      </c>
    </row>
    <row r="45" spans="1:14" x14ac:dyDescent="0.2">
      <c r="A45" s="2" t="s">
        <v>37</v>
      </c>
      <c r="B45" s="2"/>
      <c r="C45" s="2"/>
      <c r="D45" s="8">
        <v>6.9388600000000003E-6</v>
      </c>
      <c r="E45" s="2"/>
      <c r="F45" s="8">
        <v>7.2858099999999996E-6</v>
      </c>
      <c r="G45" s="8"/>
      <c r="H45" s="8">
        <v>7.6327500000000007E-6</v>
      </c>
      <c r="I45" s="8"/>
      <c r="J45" s="8">
        <v>7.9796900000000002E-6</v>
      </c>
      <c r="K45" s="8"/>
      <c r="L45" s="8">
        <v>8.3266400000000003E-6</v>
      </c>
    </row>
    <row r="46" spans="1:14" x14ac:dyDescent="0.2">
      <c r="A46" s="2" t="s">
        <v>38</v>
      </c>
      <c r="B46" s="2"/>
      <c r="C46" s="2"/>
      <c r="D46" s="8">
        <f>D44/D45*10^6</f>
        <v>26351.334863174929</v>
      </c>
      <c r="E46" s="8"/>
      <c r="F46" s="8">
        <f t="shared" ref="F46:H46" si="22">F44/F45*10^6</f>
        <v>10458.16915799954</v>
      </c>
      <c r="G46" s="8"/>
      <c r="H46" s="8">
        <f t="shared" si="22"/>
        <v>4218.9388485142354</v>
      </c>
      <c r="I46" s="8"/>
      <c r="J46" s="8">
        <f>J44/J45*10^6</f>
        <v>1729.6165212208616</v>
      </c>
      <c r="K46" s="8"/>
      <c r="L46" s="8">
        <f t="shared" ref="L46" si="23">L44/L45*10^6</f>
        <v>716.81417546318937</v>
      </c>
    </row>
    <row r="47" spans="1:14" x14ac:dyDescent="0.2">
      <c r="A47" s="2"/>
      <c r="B47" s="2"/>
      <c r="C47" s="2"/>
      <c r="D47" s="8"/>
      <c r="E47" s="8"/>
      <c r="F47" s="8"/>
      <c r="G47" s="8"/>
      <c r="H47" s="8"/>
      <c r="I47" s="8"/>
      <c r="J47" s="8"/>
      <c r="K47" s="8"/>
      <c r="L47" s="8"/>
    </row>
    <row r="48" spans="1:14" x14ac:dyDescent="0.2">
      <c r="A48" s="2"/>
      <c r="B48" s="2"/>
      <c r="C48" s="2"/>
      <c r="D48" s="8"/>
      <c r="E48" s="8"/>
      <c r="F48" s="8"/>
      <c r="G48" s="8"/>
      <c r="H48" s="8"/>
      <c r="I48" s="8"/>
      <c r="J48" s="8"/>
      <c r="K48" s="8"/>
      <c r="L48" s="8"/>
    </row>
    <row r="49" spans="1:12" x14ac:dyDescent="0.2">
      <c r="A49" s="2" t="s">
        <v>39</v>
      </c>
      <c r="B49" s="2">
        <v>0</v>
      </c>
      <c r="C49" s="7">
        <v>0.05</v>
      </c>
      <c r="D49" s="7">
        <v>0.1</v>
      </c>
      <c r="E49" s="7">
        <v>0.15</v>
      </c>
      <c r="F49" s="7">
        <v>0.2</v>
      </c>
      <c r="G49" s="3"/>
      <c r="H49" s="3"/>
      <c r="I49" s="3"/>
      <c r="J49" s="3"/>
      <c r="K49" s="3"/>
      <c r="L49" s="3"/>
    </row>
    <row r="50" spans="1:12" x14ac:dyDescent="0.2">
      <c r="A50" s="2" t="s">
        <v>40</v>
      </c>
      <c r="B50" s="3">
        <v>26351.334859999999</v>
      </c>
      <c r="C50" s="3">
        <v>10458.169159999999</v>
      </c>
      <c r="D50" s="3">
        <v>4218.9388490000001</v>
      </c>
      <c r="E50" s="3">
        <v>1729.6165209999999</v>
      </c>
      <c r="F50" s="3">
        <v>716.81417550000003</v>
      </c>
    </row>
    <row r="51" spans="1:12" x14ac:dyDescent="0.2">
      <c r="A51" s="3"/>
      <c r="B51" s="3"/>
      <c r="C51" s="3"/>
      <c r="D51" s="3"/>
      <c r="E51" s="3"/>
      <c r="F51" s="3"/>
    </row>
    <row r="52" spans="1:12" x14ac:dyDescent="0.2">
      <c r="A52" s="3"/>
      <c r="B52" s="3"/>
      <c r="C52" s="3"/>
      <c r="D52" s="3"/>
      <c r="E52" s="3"/>
      <c r="F52" s="3"/>
    </row>
    <row r="53" spans="1:12" x14ac:dyDescent="0.2">
      <c r="A53" s="3"/>
      <c r="B53" s="3"/>
      <c r="C53" s="3"/>
      <c r="D53" s="3"/>
      <c r="E53" s="3"/>
      <c r="F53" s="3"/>
    </row>
  </sheetData>
  <mergeCells count="12">
    <mergeCell ref="K25:L25"/>
    <mergeCell ref="C43:D43"/>
    <mergeCell ref="E43:F43"/>
    <mergeCell ref="G43:H43"/>
    <mergeCell ref="I43:J43"/>
    <mergeCell ref="K43:L43"/>
    <mergeCell ref="C8:J8"/>
    <mergeCell ref="A16:A20"/>
    <mergeCell ref="C25:D25"/>
    <mergeCell ref="E25:F25"/>
    <mergeCell ref="G25:H25"/>
    <mergeCell ref="I25:J25"/>
  </mergeCells>
  <phoneticPr fontId="1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workbookViewId="0">
      <selection activeCell="H12" sqref="H12"/>
    </sheetView>
  </sheetViews>
  <sheetFormatPr baseColWidth="10" defaultRowHeight="16" x14ac:dyDescent="0.2"/>
  <sheetData>
    <row r="1" spans="1:5" x14ac:dyDescent="0.2">
      <c r="A1" s="9" t="s">
        <v>41</v>
      </c>
      <c r="B1" s="9"/>
      <c r="C1" s="9"/>
      <c r="D1" s="9"/>
      <c r="E1" s="9"/>
    </row>
    <row r="2" spans="1:5" x14ac:dyDescent="0.2">
      <c r="A2" s="9" t="s">
        <v>42</v>
      </c>
      <c r="B2" s="9"/>
      <c r="C2" s="9"/>
      <c r="D2" s="9"/>
      <c r="E2" s="9"/>
    </row>
    <row r="3" spans="1:5" x14ac:dyDescent="0.2">
      <c r="A3" s="3" t="s">
        <v>43</v>
      </c>
      <c r="B3" s="3">
        <v>8</v>
      </c>
      <c r="C3" s="3" t="s">
        <v>44</v>
      </c>
      <c r="D3" s="3">
        <f>B3+B4/4-B5</f>
        <v>12.5</v>
      </c>
      <c r="E3" s="3"/>
    </row>
    <row r="4" spans="1:5" x14ac:dyDescent="0.2">
      <c r="A4" s="3" t="s">
        <v>45</v>
      </c>
      <c r="B4" s="3">
        <v>18</v>
      </c>
      <c r="C4" s="3" t="s">
        <v>0</v>
      </c>
      <c r="D4" s="3">
        <f>B3</f>
        <v>8</v>
      </c>
      <c r="E4" s="3"/>
    </row>
    <row r="5" spans="1:5" x14ac:dyDescent="0.2">
      <c r="A5" s="3" t="s">
        <v>46</v>
      </c>
      <c r="B5" s="3">
        <v>0</v>
      </c>
      <c r="C5" s="3" t="s">
        <v>47</v>
      </c>
      <c r="D5" s="3">
        <f>B4/2</f>
        <v>9</v>
      </c>
      <c r="E5" s="3"/>
    </row>
    <row r="6" spans="1:5" x14ac:dyDescent="0.2">
      <c r="A6" s="3"/>
      <c r="B6" s="3"/>
      <c r="C6" s="3" t="s">
        <v>3</v>
      </c>
      <c r="D6" s="3">
        <f>3.76*D3</f>
        <v>47</v>
      </c>
      <c r="E6" s="3"/>
    </row>
    <row r="7" spans="1:5" x14ac:dyDescent="0.2">
      <c r="A7" s="3"/>
      <c r="B7" s="3"/>
      <c r="C7" s="3"/>
      <c r="D7" s="3"/>
      <c r="E7" s="3"/>
    </row>
    <row r="8" spans="1:5" x14ac:dyDescent="0.2">
      <c r="A8" s="3"/>
      <c r="B8" s="3"/>
      <c r="C8" s="3"/>
      <c r="D8" s="3"/>
      <c r="E8" s="3"/>
    </row>
    <row r="9" spans="1:5" x14ac:dyDescent="0.2">
      <c r="A9" s="9" t="s">
        <v>41</v>
      </c>
      <c r="B9" s="9"/>
      <c r="C9" s="9"/>
      <c r="D9" s="9"/>
      <c r="E9" s="9"/>
    </row>
    <row r="10" spans="1:5" x14ac:dyDescent="0.2">
      <c r="A10" s="9" t="s">
        <v>48</v>
      </c>
      <c r="B10" s="9"/>
      <c r="C10" s="9"/>
      <c r="D10" s="9"/>
      <c r="E10" s="9"/>
    </row>
    <row r="11" spans="1:5" x14ac:dyDescent="0.2">
      <c r="A11" s="3" t="s">
        <v>43</v>
      </c>
      <c r="B11" s="3">
        <v>1</v>
      </c>
      <c r="C11" s="3" t="s">
        <v>44</v>
      </c>
      <c r="D11" s="3">
        <f>B11+B12/4-B13/2</f>
        <v>1.5</v>
      </c>
      <c r="E11" s="3"/>
    </row>
    <row r="12" spans="1:5" x14ac:dyDescent="0.2">
      <c r="A12" s="3" t="s">
        <v>45</v>
      </c>
      <c r="B12" s="3">
        <v>4</v>
      </c>
      <c r="C12" s="3" t="s">
        <v>0</v>
      </c>
      <c r="D12" s="3">
        <f>B11</f>
        <v>1</v>
      </c>
      <c r="E12" s="3"/>
    </row>
    <row r="13" spans="1:5" x14ac:dyDescent="0.2">
      <c r="A13" s="3" t="s">
        <v>46</v>
      </c>
      <c r="B13" s="3">
        <v>1</v>
      </c>
      <c r="C13" s="3" t="s">
        <v>47</v>
      </c>
      <c r="D13" s="3">
        <f>B12/2</f>
        <v>2</v>
      </c>
      <c r="E13" s="3"/>
    </row>
    <row r="14" spans="1:5" x14ac:dyDescent="0.2">
      <c r="A14" s="3"/>
      <c r="B14" s="3"/>
      <c r="C14" s="3" t="s">
        <v>3</v>
      </c>
      <c r="D14" s="3">
        <f>3.76*D11</f>
        <v>5.64</v>
      </c>
      <c r="E14" s="3"/>
    </row>
  </sheetData>
  <mergeCells count="4">
    <mergeCell ref="A1:E1"/>
    <mergeCell ref="A2:E2"/>
    <mergeCell ref="A9:E9"/>
    <mergeCell ref="A10:E10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first part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apple</dc:creator>
  <cp:lastModifiedBy>apple</cp:lastModifiedBy>
  <dcterms:created xsi:type="dcterms:W3CDTF">2020-01-04T16:22:50Z</dcterms:created>
  <dcterms:modified xsi:type="dcterms:W3CDTF">2020-01-05T21:49:04Z</dcterms:modified>
</cp:coreProperties>
</file>