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2.xml" ContentType="application/vnd.openxmlformats-officedocument.drawing+xml"/>
  <Override PartName="/xl/comments2.xml" ContentType="application/vnd.openxmlformats-officedocument.spreadsheetml.comments+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3.xml" ContentType="application/vnd.openxmlformats-officedocument.drawing+xml"/>
  <Override PartName="/xl/comments3.xml" ContentType="application/vnd.openxmlformats-officedocument.spreadsheetml.comments+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Uni Year 3\Alternative powertrain technology M6X2209\"/>
    </mc:Choice>
  </mc:AlternateContent>
  <bookViews>
    <workbookView xWindow="0" yWindow="0" windowWidth="29070" windowHeight="15870" activeTab="2"/>
  </bookViews>
  <sheets>
    <sheet name="CW1 sheet" sheetId="5" r:id="rId1"/>
    <sheet name="FIXING SHEET" sheetId="7" r:id="rId2"/>
    <sheet name="CW2 Sheet " sheetId="8" r:id="rId3"/>
    <sheet name="TRACK AND CAR INFO" sheetId="4" state="hidden" r:id="rId4"/>
    <sheet name="Sheet1" sheetId="1" state="hidden"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J156" i="8" l="1"/>
  <c r="CE10" i="8"/>
  <c r="CE11" i="8"/>
  <c r="CC11" i="8"/>
  <c r="CC10" i="8"/>
  <c r="AK87" i="8"/>
  <c r="AL87" i="8" s="1"/>
  <c r="AN87" i="8" s="1"/>
  <c r="AL86" i="8"/>
  <c r="AJ86" i="8"/>
  <c r="AK86" i="8"/>
  <c r="BA5" i="8"/>
  <c r="AY5" i="8"/>
  <c r="AX11" i="8"/>
  <c r="BB5" i="8"/>
  <c r="BA27" i="8"/>
  <c r="AY27" i="8"/>
  <c r="BA19" i="8"/>
  <c r="BA26" i="8"/>
  <c r="AY26" i="8"/>
  <c r="AM89" i="8" l="1"/>
  <c r="AI128" i="8"/>
  <c r="AI129" i="8"/>
  <c r="AI130" i="8"/>
  <c r="AI131" i="8"/>
  <c r="AI132" i="8"/>
  <c r="AI133" i="8"/>
  <c r="AI134" i="8"/>
  <c r="AI135" i="8"/>
  <c r="AI136" i="8"/>
  <c r="AI137" i="8"/>
  <c r="AI138" i="8"/>
  <c r="AI139" i="8"/>
  <c r="AI140" i="8"/>
  <c r="AI141" i="8"/>
  <c r="AI142" i="8"/>
  <c r="AI143" i="8"/>
  <c r="AI144" i="8"/>
  <c r="AI145" i="8"/>
  <c r="AI146" i="8"/>
  <c r="AI147" i="8"/>
  <c r="AI148" i="8"/>
  <c r="AI149" i="8"/>
  <c r="AI150" i="8"/>
  <c r="AI151" i="8"/>
  <c r="AI152" i="8"/>
  <c r="AI153" i="8"/>
  <c r="AI154" i="8"/>
  <c r="AI155" i="8"/>
  <c r="AI100" i="8"/>
  <c r="AI101" i="8"/>
  <c r="AI102" i="8"/>
  <c r="AI103" i="8"/>
  <c r="AI104" i="8"/>
  <c r="AI105" i="8"/>
  <c r="AI106" i="8"/>
  <c r="AI107" i="8"/>
  <c r="AI108" i="8"/>
  <c r="AI109" i="8"/>
  <c r="AI110" i="8"/>
  <c r="AI111" i="8"/>
  <c r="AI112" i="8"/>
  <c r="AI113" i="8"/>
  <c r="AI114" i="8"/>
  <c r="AI115" i="8"/>
  <c r="AI116" i="8"/>
  <c r="AI117" i="8"/>
  <c r="AI118" i="8"/>
  <c r="AI119" i="8"/>
  <c r="AI120" i="8"/>
  <c r="AI121" i="8"/>
  <c r="AI122" i="8"/>
  <c r="AI123" i="8"/>
  <c r="AI124" i="8"/>
  <c r="AI125" i="8"/>
  <c r="AI126" i="8"/>
  <c r="AI127" i="8"/>
  <c r="AI86" i="8"/>
  <c r="AI87" i="8"/>
  <c r="AI88" i="8"/>
  <c r="AI89" i="8"/>
  <c r="AI90" i="8"/>
  <c r="AI91" i="8"/>
  <c r="AI92" i="8"/>
  <c r="AI93" i="8"/>
  <c r="AI94" i="8"/>
  <c r="AI95" i="8"/>
  <c r="AI96" i="8"/>
  <c r="AI97" i="8"/>
  <c r="AI98" i="8"/>
  <c r="AI99" i="8"/>
  <c r="AI85" i="8"/>
  <c r="AH86" i="8"/>
  <c r="AH87" i="8"/>
  <c r="AH88" i="8"/>
  <c r="AH89" i="8"/>
  <c r="AH90" i="8"/>
  <c r="AH91" i="8"/>
  <c r="AH92" i="8"/>
  <c r="AH93" i="8"/>
  <c r="AH94" i="8"/>
  <c r="AH95" i="8"/>
  <c r="AH96" i="8"/>
  <c r="AH97" i="8"/>
  <c r="AH98" i="8"/>
  <c r="AH99" i="8"/>
  <c r="AH100" i="8"/>
  <c r="AH101" i="8"/>
  <c r="AH102" i="8"/>
  <c r="AH103" i="8"/>
  <c r="AH104" i="8"/>
  <c r="AH105" i="8"/>
  <c r="AH106" i="8"/>
  <c r="AH107" i="8"/>
  <c r="AH108" i="8"/>
  <c r="AH109" i="8"/>
  <c r="AH110" i="8"/>
  <c r="AH111" i="8"/>
  <c r="AH112" i="8"/>
  <c r="AH113" i="8"/>
  <c r="AH114" i="8"/>
  <c r="AH115" i="8"/>
  <c r="AH116" i="8"/>
  <c r="AH117" i="8"/>
  <c r="AH118" i="8"/>
  <c r="AH119" i="8"/>
  <c r="AH120" i="8"/>
  <c r="AH121" i="8"/>
  <c r="AH122" i="8"/>
  <c r="AH123" i="8"/>
  <c r="AH124" i="8"/>
  <c r="AH125" i="8"/>
  <c r="AH126" i="8"/>
  <c r="AH127" i="8"/>
  <c r="AH128" i="8"/>
  <c r="AH129" i="8"/>
  <c r="AH130" i="8"/>
  <c r="AH131" i="8"/>
  <c r="AH132" i="8"/>
  <c r="AH133" i="8"/>
  <c r="AH134" i="8"/>
  <c r="AH135" i="8"/>
  <c r="AH136" i="8"/>
  <c r="AH137" i="8"/>
  <c r="AH138" i="8"/>
  <c r="AH139" i="8"/>
  <c r="AH140" i="8"/>
  <c r="AH141" i="8"/>
  <c r="AH142" i="8"/>
  <c r="AH143" i="8"/>
  <c r="AH144" i="8"/>
  <c r="AH145" i="8"/>
  <c r="AH146" i="8"/>
  <c r="AH147" i="8"/>
  <c r="AH148" i="8"/>
  <c r="AH149" i="8"/>
  <c r="AH150" i="8"/>
  <c r="AH151" i="8"/>
  <c r="AH152" i="8"/>
  <c r="AH153" i="8"/>
  <c r="AH154" i="8"/>
  <c r="AH155" i="8"/>
  <c r="AH85" i="8"/>
  <c r="AB85" i="8"/>
  <c r="AK131" i="8"/>
  <c r="AK125" i="8" l="1"/>
  <c r="AW97" i="8"/>
  <c r="AW93" i="8"/>
  <c r="AW94" i="8"/>
  <c r="AW92" i="8"/>
  <c r="AW88" i="8"/>
  <c r="N155" i="8" l="1"/>
  <c r="N154" i="8"/>
  <c r="N153" i="8"/>
  <c r="N152" i="8"/>
  <c r="N151" i="8"/>
  <c r="N150" i="8"/>
  <c r="N149" i="8"/>
  <c r="N148" i="8"/>
  <c r="N147" i="8"/>
  <c r="N146" i="8"/>
  <c r="N145" i="8"/>
  <c r="N144" i="8"/>
  <c r="N143" i="8"/>
  <c r="N142" i="8"/>
  <c r="N141" i="8"/>
  <c r="N140" i="8"/>
  <c r="N139" i="8"/>
  <c r="N138" i="8"/>
  <c r="N137" i="8"/>
  <c r="N136" i="8"/>
  <c r="N135" i="8"/>
  <c r="N134" i="8"/>
  <c r="N133" i="8"/>
  <c r="N132" i="8"/>
  <c r="N131" i="8"/>
  <c r="N130" i="8"/>
  <c r="N129" i="8"/>
  <c r="N128" i="8"/>
  <c r="N127" i="8"/>
  <c r="N126" i="8"/>
  <c r="N125" i="8"/>
  <c r="N124" i="8"/>
  <c r="N123" i="8"/>
  <c r="N122" i="8"/>
  <c r="N121" i="8"/>
  <c r="N120" i="8"/>
  <c r="N119" i="8"/>
  <c r="N118" i="8"/>
  <c r="N117" i="8"/>
  <c r="N116" i="8"/>
  <c r="N115" i="8"/>
  <c r="N114" i="8"/>
  <c r="N113" i="8"/>
  <c r="N112" i="8"/>
  <c r="N111" i="8"/>
  <c r="N110" i="8"/>
  <c r="N109" i="8"/>
  <c r="N108" i="8"/>
  <c r="N107" i="8"/>
  <c r="N106" i="8"/>
  <c r="N105" i="8"/>
  <c r="N104" i="8"/>
  <c r="N103" i="8"/>
  <c r="N102" i="8"/>
  <c r="N101" i="8"/>
  <c r="N100" i="8"/>
  <c r="N99" i="8"/>
  <c r="N98" i="8"/>
  <c r="N97" i="8"/>
  <c r="N96" i="8"/>
  <c r="N95" i="8"/>
  <c r="N94" i="8"/>
  <c r="N93" i="8"/>
  <c r="N92" i="8"/>
  <c r="N91" i="8"/>
  <c r="N90" i="8"/>
  <c r="N89" i="8"/>
  <c r="N88" i="8"/>
  <c r="N87" i="8"/>
  <c r="O86" i="8"/>
  <c r="N86" i="8"/>
  <c r="R85" i="8"/>
  <c r="O85" i="8"/>
  <c r="AD85" i="8" s="1"/>
  <c r="AE85" i="8" s="1"/>
  <c r="AF85" i="8" s="1"/>
  <c r="N85" i="8"/>
  <c r="Q86" i="8" l="1"/>
  <c r="AD86" i="8"/>
  <c r="AE86" i="8" s="1"/>
  <c r="AF86" i="8" s="1"/>
  <c r="X85" i="8"/>
  <c r="P85" i="8"/>
  <c r="Q85" i="8"/>
  <c r="T86" i="8"/>
  <c r="R86" i="8"/>
  <c r="O87" i="8"/>
  <c r="AD87" i="8" s="1"/>
  <c r="AE87" i="8" s="1"/>
  <c r="AF87" i="8" s="1"/>
  <c r="X86" i="8"/>
  <c r="P86" i="8"/>
  <c r="O88" i="8" l="1"/>
  <c r="AD88" i="8" s="1"/>
  <c r="AE88" i="8" s="1"/>
  <c r="AF88" i="8" s="1"/>
  <c r="Q87" i="8"/>
  <c r="P87" i="8"/>
  <c r="X87" i="8"/>
  <c r="U86" i="8"/>
  <c r="V86" i="8"/>
  <c r="N60" i="8"/>
  <c r="N59" i="8"/>
  <c r="N36" i="8"/>
  <c r="N37" i="8"/>
  <c r="N35" i="8"/>
  <c r="N63" i="8"/>
  <c r="T87" i="8" l="1"/>
  <c r="V87" i="8" s="1"/>
  <c r="R87" i="8"/>
  <c r="O89" i="8"/>
  <c r="AD89" i="8" s="1"/>
  <c r="AE89" i="8" s="1"/>
  <c r="AF89" i="8" s="1"/>
  <c r="X88" i="8"/>
  <c r="Q88" i="8"/>
  <c r="P88" i="8"/>
  <c r="E6" i="8"/>
  <c r="W14" i="8" s="1"/>
  <c r="E23" i="8"/>
  <c r="N72" i="8"/>
  <c r="N71" i="8"/>
  <c r="N70" i="8"/>
  <c r="N69" i="8"/>
  <c r="N68" i="8"/>
  <c r="N67" i="8"/>
  <c r="N66" i="8"/>
  <c r="N65" i="8"/>
  <c r="N64" i="8"/>
  <c r="N62" i="8"/>
  <c r="N61" i="8"/>
  <c r="N58" i="8"/>
  <c r="N57" i="8"/>
  <c r="N56" i="8"/>
  <c r="N55" i="8"/>
  <c r="N54" i="8"/>
  <c r="N53" i="8"/>
  <c r="N52" i="8"/>
  <c r="N51" i="8"/>
  <c r="N50" i="8"/>
  <c r="N49" i="8"/>
  <c r="N48" i="8"/>
  <c r="N47" i="8"/>
  <c r="N46" i="8"/>
  <c r="N45" i="8"/>
  <c r="N44" i="8"/>
  <c r="N43" i="8"/>
  <c r="N42" i="8"/>
  <c r="N41" i="8"/>
  <c r="N40" i="8"/>
  <c r="N39" i="8"/>
  <c r="N38" i="8"/>
  <c r="N34" i="8"/>
  <c r="N33" i="8"/>
  <c r="N32" i="8"/>
  <c r="N31" i="8"/>
  <c r="N30" i="8"/>
  <c r="N29" i="8"/>
  <c r="N28" i="8"/>
  <c r="N27" i="8"/>
  <c r="N26" i="8"/>
  <c r="N25" i="8"/>
  <c r="N24" i="8"/>
  <c r="N23" i="8"/>
  <c r="N22" i="8"/>
  <c r="N21" i="8"/>
  <c r="N20" i="8"/>
  <c r="N19" i="8"/>
  <c r="N18" i="8"/>
  <c r="N17" i="8"/>
  <c r="N16" i="8"/>
  <c r="N15" i="8"/>
  <c r="N14" i="8"/>
  <c r="N13" i="8"/>
  <c r="N12" i="8"/>
  <c r="N11" i="8"/>
  <c r="N10" i="8"/>
  <c r="N9" i="8"/>
  <c r="N8" i="8"/>
  <c r="N7" i="8"/>
  <c r="N6" i="8"/>
  <c r="N5" i="8"/>
  <c r="N4" i="8"/>
  <c r="O3" i="8"/>
  <c r="Q3" i="8" s="1"/>
  <c r="N3" i="8"/>
  <c r="R2" i="8"/>
  <c r="O2" i="8"/>
  <c r="N2" i="8"/>
  <c r="P3" i="7"/>
  <c r="N36" i="7"/>
  <c r="N49" i="7"/>
  <c r="N50" i="7"/>
  <c r="N51" i="7"/>
  <c r="N52" i="7"/>
  <c r="N53" i="7"/>
  <c r="N54" i="7"/>
  <c r="N55" i="7"/>
  <c r="N56" i="7"/>
  <c r="N57" i="7"/>
  <c r="N58" i="7"/>
  <c r="N59" i="7"/>
  <c r="N60" i="7"/>
  <c r="N61" i="7"/>
  <c r="N62" i="7"/>
  <c r="N63" i="7"/>
  <c r="N64" i="7"/>
  <c r="N65" i="7"/>
  <c r="N66" i="7"/>
  <c r="N67" i="7"/>
  <c r="N68" i="7"/>
  <c r="N69" i="7"/>
  <c r="N70" i="7"/>
  <c r="N71" i="7"/>
  <c r="N72" i="7"/>
  <c r="N73" i="7"/>
  <c r="N74" i="7"/>
  <c r="N75" i="7"/>
  <c r="N76" i="7"/>
  <c r="N77" i="7"/>
  <c r="N78" i="7"/>
  <c r="N79" i="7"/>
  <c r="N80" i="7"/>
  <c r="N81" i="7"/>
  <c r="N82" i="7"/>
  <c r="N83" i="7"/>
  <c r="N84" i="7"/>
  <c r="N85" i="7"/>
  <c r="N86" i="7"/>
  <c r="N87" i="7"/>
  <c r="N88" i="7"/>
  <c r="N89" i="7"/>
  <c r="N90" i="7"/>
  <c r="N91" i="7"/>
  <c r="N92" i="7"/>
  <c r="N93" i="7"/>
  <c r="N94" i="7"/>
  <c r="N95" i="7"/>
  <c r="N96" i="7"/>
  <c r="N97" i="7"/>
  <c r="N98" i="7"/>
  <c r="N99" i="7"/>
  <c r="N100" i="7"/>
  <c r="N101" i="7"/>
  <c r="N102" i="7"/>
  <c r="N103" i="7"/>
  <c r="N104" i="7"/>
  <c r="N38" i="7"/>
  <c r="N39" i="7"/>
  <c r="N40" i="7"/>
  <c r="N41" i="7"/>
  <c r="N42" i="7"/>
  <c r="N43" i="7"/>
  <c r="N44" i="7"/>
  <c r="N45" i="7"/>
  <c r="N46" i="7"/>
  <c r="N47" i="7"/>
  <c r="N48" i="7"/>
  <c r="N37" i="7"/>
  <c r="E6" i="7"/>
  <c r="Y44" i="7" s="1"/>
  <c r="Y2" i="7"/>
  <c r="O2" i="7"/>
  <c r="O3" i="7" s="1"/>
  <c r="O4" i="7" s="1"/>
  <c r="O5" i="7" s="1"/>
  <c r="O6" i="7" s="1"/>
  <c r="O7" i="7" s="1"/>
  <c r="O8" i="7" s="1"/>
  <c r="O9" i="7" s="1"/>
  <c r="O10" i="7" s="1"/>
  <c r="O11" i="7" s="1"/>
  <c r="O12" i="7" s="1"/>
  <c r="O13" i="7" s="1"/>
  <c r="O14" i="7" s="1"/>
  <c r="O15" i="7" s="1"/>
  <c r="O16" i="7" s="1"/>
  <c r="O17" i="7" s="1"/>
  <c r="O18" i="7" s="1"/>
  <c r="O19" i="7" s="1"/>
  <c r="O20" i="7" s="1"/>
  <c r="O21" i="7" s="1"/>
  <c r="O22" i="7" s="1"/>
  <c r="O23" i="7" s="1"/>
  <c r="O24" i="7" s="1"/>
  <c r="O25" i="7" s="1"/>
  <c r="O26" i="7" s="1"/>
  <c r="O27" i="7" s="1"/>
  <c r="O28" i="7" s="1"/>
  <c r="O37" i="7"/>
  <c r="X37" i="7" s="1"/>
  <c r="R36" i="7"/>
  <c r="O36" i="7"/>
  <c r="Q36" i="7" s="1"/>
  <c r="E23" i="7"/>
  <c r="X25" i="7" s="1"/>
  <c r="N31" i="7"/>
  <c r="N30" i="7"/>
  <c r="K30" i="7"/>
  <c r="AE28" i="7"/>
  <c r="S28" i="7"/>
  <c r="Y28" i="7" s="1"/>
  <c r="P28" i="7"/>
  <c r="AE27" i="7"/>
  <c r="X27" i="7"/>
  <c r="S27" i="7"/>
  <c r="U27" i="7" s="1"/>
  <c r="P27" i="7"/>
  <c r="AE26" i="7"/>
  <c r="X26" i="7"/>
  <c r="S26" i="7"/>
  <c r="Y26" i="7" s="1"/>
  <c r="P26" i="7"/>
  <c r="AE25" i="7"/>
  <c r="S25" i="7"/>
  <c r="Y25" i="7" s="1"/>
  <c r="P25" i="7"/>
  <c r="AE24" i="7"/>
  <c r="X24" i="7"/>
  <c r="S24" i="7"/>
  <c r="Y24" i="7" s="1"/>
  <c r="AE23" i="7"/>
  <c r="S23" i="7"/>
  <c r="Y23" i="7" s="1"/>
  <c r="P23" i="7"/>
  <c r="AE22" i="7"/>
  <c r="X22" i="7"/>
  <c r="S22" i="7"/>
  <c r="Y22" i="7" s="1"/>
  <c r="P22" i="7"/>
  <c r="X23" i="7"/>
  <c r="AE21" i="7"/>
  <c r="S21" i="7"/>
  <c r="Y21" i="7" s="1"/>
  <c r="P21" i="7"/>
  <c r="AE20" i="7"/>
  <c r="Z20" i="7"/>
  <c r="X20" i="7"/>
  <c r="S20" i="7"/>
  <c r="Y20" i="7" s="1"/>
  <c r="P20" i="7"/>
  <c r="AE19" i="7"/>
  <c r="X19" i="7"/>
  <c r="S19" i="7"/>
  <c r="Y19" i="7" s="1"/>
  <c r="P19" i="7"/>
  <c r="AE18" i="7"/>
  <c r="X18" i="7"/>
  <c r="S18" i="7"/>
  <c r="Y18" i="7" s="1"/>
  <c r="P18" i="7"/>
  <c r="AE17" i="7"/>
  <c r="X17" i="7"/>
  <c r="S17" i="7"/>
  <c r="Y17" i="7" s="1"/>
  <c r="P17" i="7"/>
  <c r="AE16" i="7"/>
  <c r="X16" i="7"/>
  <c r="S16" i="7"/>
  <c r="Y16" i="7" s="1"/>
  <c r="P16" i="7"/>
  <c r="AE15" i="7"/>
  <c r="X15" i="7"/>
  <c r="S15" i="7"/>
  <c r="Y15" i="7" s="1"/>
  <c r="P15" i="7"/>
  <c r="AE14" i="7"/>
  <c r="X14" i="7"/>
  <c r="S14" i="7"/>
  <c r="Y14" i="7" s="1"/>
  <c r="P14" i="7"/>
  <c r="AE13" i="7"/>
  <c r="X13" i="7"/>
  <c r="S13" i="7"/>
  <c r="Y13" i="7" s="1"/>
  <c r="P13" i="7"/>
  <c r="AE12" i="7"/>
  <c r="X12" i="7"/>
  <c r="S12" i="7"/>
  <c r="Y12" i="7" s="1"/>
  <c r="P12" i="7"/>
  <c r="AE11" i="7"/>
  <c r="X11" i="7"/>
  <c r="S11" i="7"/>
  <c r="Y11" i="7" s="1"/>
  <c r="P11" i="7"/>
  <c r="AE10" i="7"/>
  <c r="Z10" i="7"/>
  <c r="X10" i="7"/>
  <c r="S10" i="7"/>
  <c r="Y10" i="7" s="1"/>
  <c r="P10" i="7"/>
  <c r="AE9" i="7"/>
  <c r="X9" i="7"/>
  <c r="S9" i="7"/>
  <c r="Y9" i="7" s="1"/>
  <c r="P9" i="7"/>
  <c r="AE8" i="7"/>
  <c r="X8" i="7"/>
  <c r="S8" i="7"/>
  <c r="Y8" i="7" s="1"/>
  <c r="P8" i="7"/>
  <c r="AE7" i="7"/>
  <c r="X7" i="7"/>
  <c r="S7" i="7"/>
  <c r="Y7" i="7" s="1"/>
  <c r="P7" i="7"/>
  <c r="AE6" i="7"/>
  <c r="X6" i="7"/>
  <c r="S6" i="7"/>
  <c r="Y6" i="7" s="1"/>
  <c r="P6" i="7"/>
  <c r="AE5" i="7"/>
  <c r="X5" i="7"/>
  <c r="S5" i="7"/>
  <c r="Y5" i="7" s="1"/>
  <c r="P5" i="7"/>
  <c r="AE4" i="7"/>
  <c r="X4" i="7"/>
  <c r="S4" i="7"/>
  <c r="Y4" i="7" s="1"/>
  <c r="P4" i="7"/>
  <c r="AE3" i="7"/>
  <c r="X3" i="7"/>
  <c r="S3" i="7"/>
  <c r="Y3" i="7" s="1"/>
  <c r="L3" i="7"/>
  <c r="L4" i="7" s="1"/>
  <c r="L5" i="7" s="1"/>
  <c r="L6" i="7" s="1"/>
  <c r="L7" i="7" s="1"/>
  <c r="L8" i="7" s="1"/>
  <c r="L9" i="7" s="1"/>
  <c r="L10" i="7" s="1"/>
  <c r="L11" i="7" s="1"/>
  <c r="L12" i="7" s="1"/>
  <c r="L13" i="7" s="1"/>
  <c r="L14" i="7" s="1"/>
  <c r="L15" i="7" s="1"/>
  <c r="L16" i="7" s="1"/>
  <c r="L17" i="7" s="1"/>
  <c r="L18" i="7" s="1"/>
  <c r="L19" i="7" s="1"/>
  <c r="L20" i="7" s="1"/>
  <c r="L21" i="7" s="1"/>
  <c r="L22" i="7" s="1"/>
  <c r="L23" i="7" s="1"/>
  <c r="L24" i="7" s="1"/>
  <c r="L25" i="7" s="1"/>
  <c r="L26" i="7" s="1"/>
  <c r="L27" i="7" s="1"/>
  <c r="L28" i="7" s="1"/>
  <c r="AE2" i="7"/>
  <c r="X2" i="7"/>
  <c r="Q2" i="8" l="1"/>
  <c r="W91" i="8"/>
  <c r="Y153" i="8"/>
  <c r="W148" i="8"/>
  <c r="W145" i="8"/>
  <c r="Y142" i="8"/>
  <c r="W137" i="8"/>
  <c r="Y134" i="8"/>
  <c r="W126" i="8"/>
  <c r="Y123" i="8"/>
  <c r="W118" i="8"/>
  <c r="Y115" i="8"/>
  <c r="W110" i="8"/>
  <c r="Y107" i="8"/>
  <c r="W102" i="8"/>
  <c r="Y99" i="8"/>
  <c r="W94" i="8"/>
  <c r="Y91" i="8"/>
  <c r="Y88" i="8"/>
  <c r="W153" i="8"/>
  <c r="Y150" i="8"/>
  <c r="W142" i="8"/>
  <c r="Y139" i="8"/>
  <c r="W134" i="8"/>
  <c r="Y131" i="8"/>
  <c r="Y128" i="8"/>
  <c r="W123" i="8"/>
  <c r="Y120" i="8"/>
  <c r="W115" i="8"/>
  <c r="Y112" i="8"/>
  <c r="W107" i="8"/>
  <c r="Y104" i="8"/>
  <c r="W99" i="8"/>
  <c r="Y96" i="8"/>
  <c r="W88" i="8"/>
  <c r="Y146" i="8"/>
  <c r="Y143" i="8"/>
  <c r="W138" i="8"/>
  <c r="W119" i="8"/>
  <c r="W111" i="8"/>
  <c r="W103" i="8"/>
  <c r="W95" i="8"/>
  <c r="Y155" i="8"/>
  <c r="W150" i="8"/>
  <c r="Y147" i="8"/>
  <c r="Y144" i="8"/>
  <c r="W139" i="8"/>
  <c r="Y136" i="8"/>
  <c r="W131" i="8"/>
  <c r="W128" i="8"/>
  <c r="Y125" i="8"/>
  <c r="W120" i="8"/>
  <c r="Y117" i="8"/>
  <c r="W112" i="8"/>
  <c r="Y109" i="8"/>
  <c r="W104" i="8"/>
  <c r="Y101" i="8"/>
  <c r="W96" i="8"/>
  <c r="Y93" i="8"/>
  <c r="Y90" i="8"/>
  <c r="Z85" i="8"/>
  <c r="Y95" i="8"/>
  <c r="W85" i="8"/>
  <c r="Y116" i="8"/>
  <c r="Y108" i="8"/>
  <c r="W155" i="8"/>
  <c r="Y152" i="8"/>
  <c r="W147" i="8"/>
  <c r="W144" i="8"/>
  <c r="Y141" i="8"/>
  <c r="W136" i="8"/>
  <c r="Y133" i="8"/>
  <c r="W125" i="8"/>
  <c r="Y122" i="8"/>
  <c r="W117" i="8"/>
  <c r="Y114" i="8"/>
  <c r="W109" i="8"/>
  <c r="Y106" i="8"/>
  <c r="W101" i="8"/>
  <c r="Y98" i="8"/>
  <c r="W93" i="8"/>
  <c r="W90" i="8"/>
  <c r="Y87" i="8"/>
  <c r="Y85" i="8"/>
  <c r="W98" i="8"/>
  <c r="Y154" i="8"/>
  <c r="Y135" i="8"/>
  <c r="Y124" i="8"/>
  <c r="Y100" i="8"/>
  <c r="Y89" i="8"/>
  <c r="W152" i="8"/>
  <c r="Y149" i="8"/>
  <c r="W141" i="8"/>
  <c r="Y138" i="8"/>
  <c r="W133" i="8"/>
  <c r="W130" i="8"/>
  <c r="Y127" i="8"/>
  <c r="W122" i="8"/>
  <c r="Y119" i="8"/>
  <c r="W114" i="8"/>
  <c r="Y111" i="8"/>
  <c r="W106" i="8"/>
  <c r="Y103" i="8"/>
  <c r="W87" i="8"/>
  <c r="W149" i="8"/>
  <c r="W127" i="8"/>
  <c r="Y92" i="8"/>
  <c r="W154" i="8"/>
  <c r="Y151" i="8"/>
  <c r="W146" i="8"/>
  <c r="W143" i="8"/>
  <c r="Y140" i="8"/>
  <c r="W135" i="8"/>
  <c r="Y132" i="8"/>
  <c r="Y129" i="8"/>
  <c r="W124" i="8"/>
  <c r="Y121" i="8"/>
  <c r="W116" i="8"/>
  <c r="Y113" i="8"/>
  <c r="W108" i="8"/>
  <c r="Y105" i="8"/>
  <c r="W100" i="8"/>
  <c r="Y97" i="8"/>
  <c r="W92" i="8"/>
  <c r="W89" i="8"/>
  <c r="Y86" i="8"/>
  <c r="W151" i="8"/>
  <c r="Y148" i="8"/>
  <c r="W140" i="8"/>
  <c r="Y137" i="8"/>
  <c r="W132" i="8"/>
  <c r="W129" i="8"/>
  <c r="Y126" i="8"/>
  <c r="W121" i="8"/>
  <c r="Y118" i="8"/>
  <c r="W113" i="8"/>
  <c r="Y110" i="8"/>
  <c r="W105" i="8"/>
  <c r="Y102" i="8"/>
  <c r="W97" i="8"/>
  <c r="Y94" i="8"/>
  <c r="W86" i="8"/>
  <c r="W8" i="8"/>
  <c r="Y60" i="8"/>
  <c r="W59" i="8"/>
  <c r="W60" i="8"/>
  <c r="Z87" i="8"/>
  <c r="W22" i="8"/>
  <c r="Z86" i="8"/>
  <c r="T88" i="8"/>
  <c r="V88" i="8" s="1"/>
  <c r="Z88" i="8" s="1"/>
  <c r="R88" i="8"/>
  <c r="X89" i="8"/>
  <c r="O90" i="8"/>
  <c r="AD90" i="8" s="1"/>
  <c r="AE90" i="8" s="1"/>
  <c r="AF90" i="8" s="1"/>
  <c r="P89" i="8"/>
  <c r="Q89" i="8"/>
  <c r="U87" i="8"/>
  <c r="W30" i="8"/>
  <c r="W36" i="8"/>
  <c r="Y36" i="8"/>
  <c r="W55" i="8"/>
  <c r="W54" i="8"/>
  <c r="O4" i="8"/>
  <c r="P4" i="8" s="1"/>
  <c r="W47" i="8"/>
  <c r="W21" i="8"/>
  <c r="W63" i="8"/>
  <c r="W29" i="8"/>
  <c r="W46" i="8"/>
  <c r="W13" i="8"/>
  <c r="W72" i="8"/>
  <c r="W39" i="8"/>
  <c r="W6" i="8"/>
  <c r="P3" i="8"/>
  <c r="W71" i="8"/>
  <c r="W38" i="8"/>
  <c r="W5" i="8"/>
  <c r="T3" i="8"/>
  <c r="V3" i="8" s="1"/>
  <c r="Z3" i="8" s="1"/>
  <c r="W64" i="8"/>
  <c r="X3" i="8"/>
  <c r="Y2" i="8"/>
  <c r="Y28" i="8"/>
  <c r="Y20" i="8"/>
  <c r="Y12" i="8"/>
  <c r="Y4" i="8"/>
  <c r="Y40" i="8"/>
  <c r="Y58" i="8"/>
  <c r="Y50" i="8"/>
  <c r="Y66" i="8"/>
  <c r="W43" i="7"/>
  <c r="W70" i="8"/>
  <c r="W62" i="8"/>
  <c r="W53" i="8"/>
  <c r="W45" i="8"/>
  <c r="W37" i="8"/>
  <c r="W28" i="8"/>
  <c r="W20" i="8"/>
  <c r="W12" i="8"/>
  <c r="W4" i="8"/>
  <c r="Y35" i="8"/>
  <c r="Y27" i="8"/>
  <c r="Y19" i="8"/>
  <c r="Y11" i="8"/>
  <c r="Y3" i="8"/>
  <c r="Y39" i="8"/>
  <c r="Y57" i="8"/>
  <c r="Y63" i="8"/>
  <c r="Y65" i="8"/>
  <c r="W69" i="8"/>
  <c r="W61" i="8"/>
  <c r="W52" i="8"/>
  <c r="W44" i="8"/>
  <c r="W35" i="8"/>
  <c r="W27" i="8"/>
  <c r="W19" i="8"/>
  <c r="W11" i="8"/>
  <c r="W3" i="8"/>
  <c r="Y34" i="8"/>
  <c r="Y26" i="8"/>
  <c r="Y18" i="8"/>
  <c r="Y10" i="8"/>
  <c r="Y46" i="8"/>
  <c r="Y38" i="8"/>
  <c r="Y56" i="8"/>
  <c r="Y72" i="8"/>
  <c r="Y64" i="8"/>
  <c r="W68" i="8"/>
  <c r="W51" i="8"/>
  <c r="W43" i="8"/>
  <c r="W34" i="8"/>
  <c r="W26" i="8"/>
  <c r="W18" i="8"/>
  <c r="W10" i="8"/>
  <c r="X2" i="8"/>
  <c r="Y33" i="8"/>
  <c r="Y25" i="8"/>
  <c r="Y17" i="8"/>
  <c r="Y9" i="8"/>
  <c r="Y45" i="8"/>
  <c r="Y37" i="8"/>
  <c r="Y55" i="8"/>
  <c r="Y71" i="8"/>
  <c r="Z2" i="8"/>
  <c r="W67" i="8"/>
  <c r="W58" i="8"/>
  <c r="W50" i="8"/>
  <c r="W42" i="8"/>
  <c r="W33" i="8"/>
  <c r="W25" i="8"/>
  <c r="W17" i="8"/>
  <c r="W9" i="8"/>
  <c r="Y32" i="8"/>
  <c r="Y24" i="8"/>
  <c r="Y16" i="8"/>
  <c r="Y8" i="8"/>
  <c r="Y44" i="8"/>
  <c r="Y49" i="8"/>
  <c r="Y54" i="8"/>
  <c r="Y70" i="8"/>
  <c r="Q4" i="7"/>
  <c r="X21" i="7"/>
  <c r="W66" i="8"/>
  <c r="W57" i="8"/>
  <c r="W49" i="8"/>
  <c r="W41" i="8"/>
  <c r="W32" i="8"/>
  <c r="W24" i="8"/>
  <c r="W16" i="8"/>
  <c r="Y31" i="8"/>
  <c r="Y23" i="8"/>
  <c r="Y15" i="8"/>
  <c r="Y7" i="8"/>
  <c r="Y43" i="8"/>
  <c r="Y48" i="8"/>
  <c r="Y53" i="8"/>
  <c r="Y69" i="8"/>
  <c r="W2" i="8"/>
  <c r="W65" i="8"/>
  <c r="W56" i="8"/>
  <c r="W48" i="8"/>
  <c r="W40" i="8"/>
  <c r="W31" i="8"/>
  <c r="W23" i="8"/>
  <c r="W15" i="8"/>
  <c r="W7" i="8"/>
  <c r="Y30" i="8"/>
  <c r="Y22" i="8"/>
  <c r="Y14" i="8"/>
  <c r="Y6" i="8"/>
  <c r="Y42" i="8"/>
  <c r="Y61" i="8"/>
  <c r="Y52" i="8"/>
  <c r="Y68" i="8"/>
  <c r="Y29" i="8"/>
  <c r="Y21" i="8"/>
  <c r="Y13" i="8"/>
  <c r="Y5" i="8"/>
  <c r="Y41" i="8"/>
  <c r="Y59" i="8"/>
  <c r="Y51" i="8"/>
  <c r="Y67" i="8"/>
  <c r="U3" i="8"/>
  <c r="R3" i="8"/>
  <c r="P2" i="8"/>
  <c r="Q7" i="7"/>
  <c r="AA26" i="7"/>
  <c r="Q10" i="7"/>
  <c r="U26" i="7"/>
  <c r="W26" i="7" s="1"/>
  <c r="Z7" i="7"/>
  <c r="Z17" i="7"/>
  <c r="W37" i="7"/>
  <c r="Y98" i="7"/>
  <c r="Z4" i="7"/>
  <c r="Z12" i="7"/>
  <c r="AA21" i="7"/>
  <c r="W39" i="7"/>
  <c r="Y90" i="7"/>
  <c r="Z27" i="7"/>
  <c r="Z19" i="7"/>
  <c r="Q26" i="7"/>
  <c r="W102" i="7"/>
  <c r="Y82" i="7"/>
  <c r="Z6" i="7"/>
  <c r="Q14" i="7"/>
  <c r="Z14" i="7"/>
  <c r="AA23" i="7"/>
  <c r="AB23" i="7" s="1"/>
  <c r="AC23" i="7" s="1"/>
  <c r="AD23" i="7" s="1"/>
  <c r="X28" i="7"/>
  <c r="W94" i="7"/>
  <c r="Y50" i="7"/>
  <c r="Z11" i="7"/>
  <c r="Z21" i="7"/>
  <c r="Q27" i="7"/>
  <c r="W86" i="7"/>
  <c r="Y42" i="7"/>
  <c r="W46" i="7"/>
  <c r="Z9" i="7"/>
  <c r="Z3" i="7"/>
  <c r="Z8" i="7"/>
  <c r="AA15" i="7"/>
  <c r="Q18" i="7"/>
  <c r="Z18" i="7"/>
  <c r="W78" i="7"/>
  <c r="Z5" i="7"/>
  <c r="Z13" i="7"/>
  <c r="W54" i="7"/>
  <c r="U6" i="7"/>
  <c r="W6" i="7" s="1"/>
  <c r="Q15" i="7"/>
  <c r="Q12" i="7"/>
  <c r="U14" i="7"/>
  <c r="Q11" i="7"/>
  <c r="Y74" i="7"/>
  <c r="Q8" i="7"/>
  <c r="W70" i="7"/>
  <c r="Y66" i="7"/>
  <c r="Q6" i="7"/>
  <c r="Q17" i="7"/>
  <c r="U10" i="7"/>
  <c r="Q28" i="7"/>
  <c r="Z36" i="7"/>
  <c r="W62" i="7"/>
  <c r="Y58" i="7"/>
  <c r="Q22" i="7"/>
  <c r="N32" i="7"/>
  <c r="W103" i="7"/>
  <c r="W95" i="7"/>
  <c r="W87" i="7"/>
  <c r="W79" i="7"/>
  <c r="W71" i="7"/>
  <c r="W63" i="7"/>
  <c r="W55" i="7"/>
  <c r="W47" i="7"/>
  <c r="Y99" i="7"/>
  <c r="Y91" i="7"/>
  <c r="Y83" i="7"/>
  <c r="Y75" i="7"/>
  <c r="Y67" i="7"/>
  <c r="Y59" i="7"/>
  <c r="Y51" i="7"/>
  <c r="Y43" i="7"/>
  <c r="Q19" i="7"/>
  <c r="AA24" i="7"/>
  <c r="AB24" i="7" s="1"/>
  <c r="AC24" i="7" s="1"/>
  <c r="AD24" i="7" s="1"/>
  <c r="Z25" i="7"/>
  <c r="U28" i="7"/>
  <c r="W28" i="7" s="1"/>
  <c r="W40" i="7"/>
  <c r="W101" i="7"/>
  <c r="W93" i="7"/>
  <c r="W85" i="7"/>
  <c r="W77" i="7"/>
  <c r="W69" i="7"/>
  <c r="W61" i="7"/>
  <c r="W53" i="7"/>
  <c r="W45" i="7"/>
  <c r="Y97" i="7"/>
  <c r="Y89" i="7"/>
  <c r="Y81" i="7"/>
  <c r="Y73" i="7"/>
  <c r="Y65" i="7"/>
  <c r="Y57" i="7"/>
  <c r="Y49" i="7"/>
  <c r="Y41" i="7"/>
  <c r="Q5" i="7"/>
  <c r="U5" i="7"/>
  <c r="Q9" i="7"/>
  <c r="U9" i="7"/>
  <c r="W9" i="7" s="1"/>
  <c r="Q13" i="7"/>
  <c r="U13" i="7"/>
  <c r="W13" i="7" s="1"/>
  <c r="AA25" i="7"/>
  <c r="Z26" i="7"/>
  <c r="AB26" i="7" s="1"/>
  <c r="AC26" i="7" s="1"/>
  <c r="AD26" i="7" s="1"/>
  <c r="Y27" i="7"/>
  <c r="X36" i="7"/>
  <c r="AA2" i="7"/>
  <c r="W100" i="7"/>
  <c r="W92" i="7"/>
  <c r="W84" i="7"/>
  <c r="W76" i="7"/>
  <c r="W68" i="7"/>
  <c r="W60" i="7"/>
  <c r="W52" i="7"/>
  <c r="W44" i="7"/>
  <c r="Y104" i="7"/>
  <c r="Y96" i="7"/>
  <c r="Y88" i="7"/>
  <c r="Y72" i="7"/>
  <c r="Y64" i="7"/>
  <c r="Y56" i="7"/>
  <c r="Y48" i="7"/>
  <c r="P36" i="7"/>
  <c r="Q21" i="7"/>
  <c r="Z2" i="7"/>
  <c r="W99" i="7"/>
  <c r="W91" i="7"/>
  <c r="W83" i="7"/>
  <c r="W75" i="7"/>
  <c r="W67" i="7"/>
  <c r="W59" i="7"/>
  <c r="W51" i="7"/>
  <c r="Y103" i="7"/>
  <c r="Y95" i="7"/>
  <c r="Y87" i="7"/>
  <c r="Y79" i="7"/>
  <c r="Y71" i="7"/>
  <c r="Y63" i="7"/>
  <c r="Y55" i="7"/>
  <c r="Y47" i="7"/>
  <c r="P37" i="7"/>
  <c r="U4" i="7"/>
  <c r="W4" i="7" s="1"/>
  <c r="U8" i="7"/>
  <c r="W8" i="7" s="1"/>
  <c r="U12" i="7"/>
  <c r="Q25" i="7"/>
  <c r="AA27" i="7"/>
  <c r="Z28" i="7"/>
  <c r="U15" i="7"/>
  <c r="W15" i="7" s="1"/>
  <c r="W98" i="7"/>
  <c r="W90" i="7"/>
  <c r="W82" i="7"/>
  <c r="W74" i="7"/>
  <c r="W66" i="7"/>
  <c r="W58" i="7"/>
  <c r="W50" i="7"/>
  <c r="W42" i="7"/>
  <c r="Y102" i="7"/>
  <c r="Y86" i="7"/>
  <c r="Y78" i="7"/>
  <c r="Y70" i="7"/>
  <c r="Y62" i="7"/>
  <c r="Y54" i="7"/>
  <c r="Y46" i="7"/>
  <c r="W36" i="7"/>
  <c r="W97" i="7"/>
  <c r="W89" i="7"/>
  <c r="W81" i="7"/>
  <c r="W73" i="7"/>
  <c r="W65" i="7"/>
  <c r="W57" i="7"/>
  <c r="W49" i="7"/>
  <c r="W41" i="7"/>
  <c r="Y101" i="7"/>
  <c r="Y93" i="7"/>
  <c r="Y85" i="7"/>
  <c r="Y77" i="7"/>
  <c r="Y69" i="7"/>
  <c r="Y61" i="7"/>
  <c r="Y53" i="7"/>
  <c r="Y45" i="7"/>
  <c r="U3" i="7"/>
  <c r="V3" i="7" s="1"/>
  <c r="U7" i="7"/>
  <c r="W7" i="7" s="1"/>
  <c r="U11" i="7"/>
  <c r="W11" i="7" s="1"/>
  <c r="Q20" i="7"/>
  <c r="Q23" i="7"/>
  <c r="U25" i="7"/>
  <c r="W25" i="7" s="1"/>
  <c r="W27" i="7"/>
  <c r="Y36" i="7"/>
  <c r="W38" i="7"/>
  <c r="W104" i="7"/>
  <c r="W96" i="7"/>
  <c r="W88" i="7"/>
  <c r="W80" i="7"/>
  <c r="W72" i="7"/>
  <c r="W64" i="7"/>
  <c r="W56" i="7"/>
  <c r="W48" i="7"/>
  <c r="Y100" i="7"/>
  <c r="Y92" i="7"/>
  <c r="Y84" i="7"/>
  <c r="Y76" i="7"/>
  <c r="Y68" i="7"/>
  <c r="Y60" i="7"/>
  <c r="Y52" i="7"/>
  <c r="O38" i="7"/>
  <c r="AA28" i="7"/>
  <c r="Y40" i="7"/>
  <c r="Y39" i="7"/>
  <c r="Y38" i="7"/>
  <c r="Y37" i="7"/>
  <c r="AB15" i="7"/>
  <c r="AC15" i="7" s="1"/>
  <c r="AD15" i="7" s="1"/>
  <c r="AB21" i="7"/>
  <c r="AC21" i="7" s="1"/>
  <c r="AD21" i="7" s="1"/>
  <c r="Q16" i="7"/>
  <c r="Q3" i="7"/>
  <c r="AA3" i="7"/>
  <c r="AA4" i="7"/>
  <c r="AA5" i="7"/>
  <c r="AA6" i="7"/>
  <c r="AB6" i="7" s="1"/>
  <c r="AC6" i="7" s="1"/>
  <c r="AD6" i="7" s="1"/>
  <c r="AA7" i="7"/>
  <c r="AB7" i="7" s="1"/>
  <c r="AC7" i="7" s="1"/>
  <c r="AD7" i="7" s="1"/>
  <c r="AA8" i="7"/>
  <c r="AB8" i="7" s="1"/>
  <c r="AC8" i="7" s="1"/>
  <c r="AD8" i="7" s="1"/>
  <c r="AA9" i="7"/>
  <c r="AA10" i="7"/>
  <c r="AB10" i="7" s="1"/>
  <c r="AC10" i="7" s="1"/>
  <c r="AD10" i="7" s="1"/>
  <c r="AA11" i="7"/>
  <c r="AB11" i="7" s="1"/>
  <c r="AC11" i="7" s="1"/>
  <c r="AD11" i="7" s="1"/>
  <c r="AA12" i="7"/>
  <c r="AB12" i="7" s="1"/>
  <c r="AC12" i="7" s="1"/>
  <c r="AD12" i="7" s="1"/>
  <c r="AA13" i="7"/>
  <c r="AA14" i="7"/>
  <c r="AB14" i="7" s="1"/>
  <c r="AC14" i="7" s="1"/>
  <c r="AD14" i="7" s="1"/>
  <c r="U17" i="7"/>
  <c r="W17" i="7" s="1"/>
  <c r="U18" i="7"/>
  <c r="W18" i="7" s="1"/>
  <c r="U19" i="7"/>
  <c r="W19" i="7" s="1"/>
  <c r="U20" i="7"/>
  <c r="W20" i="7" s="1"/>
  <c r="U21" i="7"/>
  <c r="W21" i="7" s="1"/>
  <c r="U23" i="7"/>
  <c r="W23" i="7" s="1"/>
  <c r="U16" i="7"/>
  <c r="U22" i="7"/>
  <c r="W22" i="7" s="1"/>
  <c r="W5" i="7"/>
  <c r="W10" i="7"/>
  <c r="W12" i="7"/>
  <c r="W14" i="7"/>
  <c r="Q24" i="7"/>
  <c r="AA16" i="7"/>
  <c r="AB16" i="7" s="1"/>
  <c r="AC16" i="7" s="1"/>
  <c r="AD16" i="7" s="1"/>
  <c r="AA17" i="7"/>
  <c r="AA18" i="7"/>
  <c r="AB18" i="7" s="1"/>
  <c r="AC18" i="7" s="1"/>
  <c r="AD18" i="7" s="1"/>
  <c r="AA19" i="7"/>
  <c r="AA20" i="7"/>
  <c r="AB20" i="7" s="1"/>
  <c r="AC20" i="7" s="1"/>
  <c r="AD20" i="7" s="1"/>
  <c r="AA22" i="7"/>
  <c r="AB22" i="7" s="1"/>
  <c r="AC22" i="7" s="1"/>
  <c r="AD22" i="7" s="1"/>
  <c r="U24" i="7"/>
  <c r="AE3" i="5"/>
  <c r="AE4" i="5"/>
  <c r="AE5" i="5"/>
  <c r="AE6" i="5"/>
  <c r="AE7" i="5"/>
  <c r="AE8" i="5"/>
  <c r="AE9" i="5"/>
  <c r="AE10" i="5"/>
  <c r="AE11" i="5"/>
  <c r="AE12" i="5"/>
  <c r="AE13" i="5"/>
  <c r="AE14" i="5"/>
  <c r="AE15" i="5"/>
  <c r="AE16" i="5"/>
  <c r="AE17" i="5"/>
  <c r="AE18" i="5"/>
  <c r="AE19" i="5"/>
  <c r="AE20" i="5"/>
  <c r="AE21" i="5"/>
  <c r="AE22" i="5"/>
  <c r="AE23" i="5"/>
  <c r="AE24" i="5"/>
  <c r="AE25" i="5"/>
  <c r="AE26" i="5"/>
  <c r="AE27" i="5"/>
  <c r="AE28" i="5"/>
  <c r="AE2" i="5"/>
  <c r="U88" i="8" l="1"/>
  <c r="AA88" i="8"/>
  <c r="AB88" i="8" s="1"/>
  <c r="AA87" i="8"/>
  <c r="AB87" i="8" s="1"/>
  <c r="AA86" i="8"/>
  <c r="AB86" i="8" s="1"/>
  <c r="AA85" i="8"/>
  <c r="T89" i="8"/>
  <c r="V89" i="8" s="1"/>
  <c r="Z89" i="8" s="1"/>
  <c r="AA89" i="8" s="1"/>
  <c r="AB89" i="8" s="1"/>
  <c r="R89" i="8"/>
  <c r="P90" i="8"/>
  <c r="X90" i="8"/>
  <c r="Q90" i="8"/>
  <c r="O91" i="8"/>
  <c r="AD91" i="8" s="1"/>
  <c r="AE91" i="8" s="1"/>
  <c r="AF91" i="8" s="1"/>
  <c r="X4" i="8"/>
  <c r="O5" i="8"/>
  <c r="P5" i="8" s="1"/>
  <c r="Q4" i="8"/>
  <c r="R4" i="8" s="1"/>
  <c r="AA2" i="8"/>
  <c r="AB2" i="8" s="1"/>
  <c r="AA3" i="8"/>
  <c r="AB3" i="8" s="1"/>
  <c r="AC3" i="8" s="1"/>
  <c r="AB17" i="7"/>
  <c r="AC17" i="7" s="1"/>
  <c r="AD17" i="7" s="1"/>
  <c r="AB5" i="7"/>
  <c r="AC5" i="7" s="1"/>
  <c r="AD5" i="7" s="1"/>
  <c r="AB19" i="7"/>
  <c r="AC19" i="7" s="1"/>
  <c r="AD19" i="7" s="1"/>
  <c r="AB13" i="7"/>
  <c r="AC13" i="7" s="1"/>
  <c r="AD13" i="7" s="1"/>
  <c r="AB4" i="7"/>
  <c r="AC4" i="7" s="1"/>
  <c r="AD4" i="7" s="1"/>
  <c r="AB9" i="7"/>
  <c r="AC9" i="7" s="1"/>
  <c r="AD9" i="7" s="1"/>
  <c r="AB27" i="7"/>
  <c r="AC27" i="7" s="1"/>
  <c r="AD27" i="7" s="1"/>
  <c r="AB2" i="7"/>
  <c r="AC2" i="7" s="1"/>
  <c r="AD2" i="7" s="1"/>
  <c r="AB25" i="7"/>
  <c r="AC25" i="7" s="1"/>
  <c r="AD25" i="7" s="1"/>
  <c r="W3" i="7"/>
  <c r="AA36" i="7"/>
  <c r="AB36" i="7" s="1"/>
  <c r="AC36" i="7" s="1"/>
  <c r="U30" i="7"/>
  <c r="V4" i="7"/>
  <c r="V5" i="7" s="1"/>
  <c r="V6" i="7" s="1"/>
  <c r="V7" i="7" s="1"/>
  <c r="V8" i="7" s="1"/>
  <c r="V9" i="7" s="1"/>
  <c r="V10" i="7" s="1"/>
  <c r="V11" i="7" s="1"/>
  <c r="V12" i="7" s="1"/>
  <c r="V13" i="7" s="1"/>
  <c r="V14" i="7" s="1"/>
  <c r="V15" i="7" s="1"/>
  <c r="V16" i="7" s="1"/>
  <c r="V17" i="7" s="1"/>
  <c r="V18" i="7" s="1"/>
  <c r="V19" i="7" s="1"/>
  <c r="V20" i="7" s="1"/>
  <c r="V21" i="7" s="1"/>
  <c r="V22" i="7" s="1"/>
  <c r="V23" i="7" s="1"/>
  <c r="V24" i="7" s="1"/>
  <c r="V25" i="7" s="1"/>
  <c r="V26" i="7" s="1"/>
  <c r="V27" i="7" s="1"/>
  <c r="V28" i="7" s="1"/>
  <c r="AB28" i="7"/>
  <c r="AC28" i="7" s="1"/>
  <c r="AD28" i="7" s="1"/>
  <c r="AB3" i="7"/>
  <c r="AC3" i="7" s="1"/>
  <c r="Q38" i="7"/>
  <c r="T38" i="7" s="1"/>
  <c r="P38" i="7"/>
  <c r="O39" i="7"/>
  <c r="X38" i="7"/>
  <c r="W16" i="7"/>
  <c r="Z6" i="5"/>
  <c r="P5" i="5"/>
  <c r="Z7" i="5"/>
  <c r="Y4" i="5"/>
  <c r="Z5" i="5"/>
  <c r="P3" i="5"/>
  <c r="AA3" i="5" s="1"/>
  <c r="L3" i="5"/>
  <c r="L4" i="5" s="1"/>
  <c r="L5" i="5" s="1"/>
  <c r="L6" i="5" s="1"/>
  <c r="L7" i="5" s="1"/>
  <c r="L8" i="5" s="1"/>
  <c r="L9" i="5" s="1"/>
  <c r="L10" i="5" s="1"/>
  <c r="L11" i="5" s="1"/>
  <c r="L12" i="5" s="1"/>
  <c r="L13" i="5" s="1"/>
  <c r="L14" i="5" s="1"/>
  <c r="L15" i="5" s="1"/>
  <c r="L16" i="5" s="1"/>
  <c r="L17" i="5" s="1"/>
  <c r="L18" i="5" s="1"/>
  <c r="L19" i="5" s="1"/>
  <c r="L20" i="5" s="1"/>
  <c r="L21" i="5" s="1"/>
  <c r="L22" i="5" s="1"/>
  <c r="L23" i="5" s="1"/>
  <c r="L24" i="5" s="1"/>
  <c r="L25" i="5" s="1"/>
  <c r="L26" i="5" s="1"/>
  <c r="L27" i="5" s="1"/>
  <c r="L28" i="5" s="1"/>
  <c r="S3" i="5"/>
  <c r="Z3" i="5"/>
  <c r="P4" i="5"/>
  <c r="AA4" i="5" s="1"/>
  <c r="S4" i="5"/>
  <c r="U4" i="5" s="1"/>
  <c r="Z4" i="5"/>
  <c r="S5" i="5"/>
  <c r="P6" i="5"/>
  <c r="AA6" i="5" s="1"/>
  <c r="S6" i="5"/>
  <c r="U6" i="5" s="1"/>
  <c r="P7" i="5"/>
  <c r="AA7" i="5" s="1"/>
  <c r="S7" i="5"/>
  <c r="Y7" i="5" s="1"/>
  <c r="P8" i="5"/>
  <c r="AA8" i="5" s="1"/>
  <c r="S8" i="5"/>
  <c r="Y8" i="5" s="1"/>
  <c r="Z8" i="5"/>
  <c r="P9" i="5"/>
  <c r="AA9" i="5" s="1"/>
  <c r="S9" i="5"/>
  <c r="Y9" i="5" s="1"/>
  <c r="Z9" i="5"/>
  <c r="P10" i="5"/>
  <c r="S10" i="5"/>
  <c r="U10" i="5" s="1"/>
  <c r="Z10" i="5"/>
  <c r="P11" i="5"/>
  <c r="AA11" i="5" s="1"/>
  <c r="S11" i="5"/>
  <c r="U11" i="5" s="1"/>
  <c r="Z11" i="5"/>
  <c r="P12" i="5"/>
  <c r="AA12" i="5" s="1"/>
  <c r="S12" i="5"/>
  <c r="U12" i="5" s="1"/>
  <c r="Z12" i="5"/>
  <c r="P13" i="5"/>
  <c r="S13" i="5"/>
  <c r="Y13" i="5" s="1"/>
  <c r="Z13" i="5"/>
  <c r="P14" i="5"/>
  <c r="S14" i="5"/>
  <c r="Y14" i="5" s="1"/>
  <c r="Z14" i="5"/>
  <c r="P15" i="5"/>
  <c r="AA15" i="5" s="1"/>
  <c r="S15" i="5"/>
  <c r="Y15" i="5" s="1"/>
  <c r="P16" i="5"/>
  <c r="AA16" i="5" s="1"/>
  <c r="S16" i="5"/>
  <c r="U16" i="5" s="1"/>
  <c r="P17" i="5"/>
  <c r="S17" i="5"/>
  <c r="Y17" i="5" s="1"/>
  <c r="Z17" i="5"/>
  <c r="P18" i="5"/>
  <c r="S18" i="5"/>
  <c r="Y18" i="5" s="1"/>
  <c r="Z18" i="5"/>
  <c r="P19" i="5"/>
  <c r="AA19" i="5" s="1"/>
  <c r="S19" i="5"/>
  <c r="U19" i="5" s="1"/>
  <c r="Z19" i="5"/>
  <c r="P20" i="5"/>
  <c r="AA20" i="5" s="1"/>
  <c r="S20" i="5"/>
  <c r="U20" i="5" s="1"/>
  <c r="Z20" i="5"/>
  <c r="P21" i="5"/>
  <c r="S21" i="5"/>
  <c r="Y21" i="5" s="1"/>
  <c r="Z21" i="5"/>
  <c r="P22" i="5"/>
  <c r="AA22" i="5" s="1"/>
  <c r="S22" i="5"/>
  <c r="Y22" i="5" s="1"/>
  <c r="P23" i="5"/>
  <c r="Q24" i="5" s="1"/>
  <c r="S23" i="5"/>
  <c r="U23" i="5" s="1"/>
  <c r="S24" i="5"/>
  <c r="Y24" i="5" s="1"/>
  <c r="AA24" i="5"/>
  <c r="P25" i="5"/>
  <c r="Q25" i="5" s="1"/>
  <c r="S25" i="5"/>
  <c r="Y25" i="5" s="1"/>
  <c r="Z25" i="5"/>
  <c r="P26" i="5"/>
  <c r="AA26" i="5" s="1"/>
  <c r="S26" i="5"/>
  <c r="Y26" i="5" s="1"/>
  <c r="Z26" i="5"/>
  <c r="P27" i="5"/>
  <c r="S27" i="5"/>
  <c r="Y27" i="5" s="1"/>
  <c r="Z27" i="5"/>
  <c r="P28" i="5"/>
  <c r="AA28" i="5" s="1"/>
  <c r="S28" i="5"/>
  <c r="Y28" i="5" s="1"/>
  <c r="Z28" i="5"/>
  <c r="AG85" i="8" l="1"/>
  <c r="AJ85" i="8"/>
  <c r="AK85" i="8" s="1"/>
  <c r="AL85" i="8" s="1"/>
  <c r="AG86" i="8"/>
  <c r="AO86" i="8"/>
  <c r="AG87" i="8"/>
  <c r="AJ87" i="8"/>
  <c r="AG89" i="8"/>
  <c r="AJ89" i="8"/>
  <c r="AK89" i="8" s="1"/>
  <c r="AG88" i="8"/>
  <c r="AJ88" i="8"/>
  <c r="AK88" i="8" s="1"/>
  <c r="AC89" i="8"/>
  <c r="AL89" i="8"/>
  <c r="AC88" i="8"/>
  <c r="AL88" i="8"/>
  <c r="AC85" i="8"/>
  <c r="AC87" i="8"/>
  <c r="AC86" i="8"/>
  <c r="AC2" i="8"/>
  <c r="U89" i="8"/>
  <c r="Q91" i="8"/>
  <c r="P91" i="8"/>
  <c r="X91" i="8"/>
  <c r="O92" i="8"/>
  <c r="AD92" i="8" s="1"/>
  <c r="AE92" i="8" s="1"/>
  <c r="AF92" i="8" s="1"/>
  <c r="T90" i="8"/>
  <c r="V90" i="8" s="1"/>
  <c r="Z90" i="8" s="1"/>
  <c r="AA90" i="8" s="1"/>
  <c r="AB90" i="8" s="1"/>
  <c r="R90" i="8"/>
  <c r="T4" i="8"/>
  <c r="V4" i="8" s="1"/>
  <c r="Z4" i="8" s="1"/>
  <c r="AA4" i="8" s="1"/>
  <c r="AB4" i="8" s="1"/>
  <c r="O6" i="8"/>
  <c r="Q5" i="8"/>
  <c r="R5" i="8" s="1"/>
  <c r="X5" i="8"/>
  <c r="AC30" i="7"/>
  <c r="AC31" i="7"/>
  <c r="W30" i="7"/>
  <c r="AD3" i="7"/>
  <c r="Q39" i="7"/>
  <c r="T39" i="7" s="1"/>
  <c r="P39" i="7"/>
  <c r="X39" i="7"/>
  <c r="O40" i="7"/>
  <c r="Y3" i="5"/>
  <c r="AB3" i="5" s="1"/>
  <c r="AC3" i="5" s="1"/>
  <c r="AD3" i="5" s="1"/>
  <c r="U3" i="5"/>
  <c r="W3" i="5" s="1"/>
  <c r="Y19" i="5"/>
  <c r="AB19" i="5" s="1"/>
  <c r="AC19" i="5" s="1"/>
  <c r="AD19" i="5" s="1"/>
  <c r="W4" i="5"/>
  <c r="Q3" i="5"/>
  <c r="U26" i="5"/>
  <c r="W26" i="5" s="1"/>
  <c r="AB22" i="5"/>
  <c r="AC22" i="5" s="1"/>
  <c r="AD22" i="5" s="1"/>
  <c r="U17" i="5"/>
  <c r="W17" i="5" s="1"/>
  <c r="Q8" i="5"/>
  <c r="U24" i="5"/>
  <c r="U9" i="5"/>
  <c r="W9" i="5" s="1"/>
  <c r="Y23" i="5"/>
  <c r="Y16" i="5"/>
  <c r="AB16" i="5" s="1"/>
  <c r="AC16" i="5" s="1"/>
  <c r="AD16" i="5" s="1"/>
  <c r="W6" i="5"/>
  <c r="Q15" i="5"/>
  <c r="Q5" i="5"/>
  <c r="U27" i="5"/>
  <c r="W27" i="5" s="1"/>
  <c r="AA25" i="5"/>
  <c r="AB25" i="5" s="1"/>
  <c r="AC25" i="5" s="1"/>
  <c r="AD25" i="5" s="1"/>
  <c r="Q19" i="5"/>
  <c r="U22" i="5"/>
  <c r="W22" i="5" s="1"/>
  <c r="AB24" i="5"/>
  <c r="AC24" i="5" s="1"/>
  <c r="AD24" i="5" s="1"/>
  <c r="Q28" i="5"/>
  <c r="Q21" i="5"/>
  <c r="U15" i="5"/>
  <c r="W15" i="5" s="1"/>
  <c r="Q22" i="5"/>
  <c r="Q18" i="5"/>
  <c r="Y10" i="5"/>
  <c r="Y6" i="5"/>
  <c r="AB6" i="5" s="1"/>
  <c r="AC6" i="5" s="1"/>
  <c r="AD6" i="5" s="1"/>
  <c r="U28" i="5"/>
  <c r="W28" i="5" s="1"/>
  <c r="Q16" i="5"/>
  <c r="U21" i="5"/>
  <c r="W21" i="5" s="1"/>
  <c r="U18" i="5"/>
  <c r="W18" i="5" s="1"/>
  <c r="Q17" i="5"/>
  <c r="U14" i="5"/>
  <c r="W14" i="5" s="1"/>
  <c r="U8" i="5"/>
  <c r="W8" i="5" s="1"/>
  <c r="U5" i="5"/>
  <c r="W5" i="5" s="1"/>
  <c r="Q12" i="5"/>
  <c r="AB9" i="5"/>
  <c r="AC9" i="5" s="1"/>
  <c r="AD9" i="5" s="1"/>
  <c r="AB15" i="5"/>
  <c r="AC15" i="5" s="1"/>
  <c r="AD15" i="5" s="1"/>
  <c r="W10" i="5"/>
  <c r="Q9" i="5"/>
  <c r="Q6" i="5"/>
  <c r="W19" i="5"/>
  <c r="AA17" i="5"/>
  <c r="AB17" i="5" s="1"/>
  <c r="AC17" i="5" s="1"/>
  <c r="AD17" i="5" s="1"/>
  <c r="Q26" i="5"/>
  <c r="W23" i="5"/>
  <c r="AA21" i="5"/>
  <c r="AB21" i="5" s="1"/>
  <c r="AC21" i="5" s="1"/>
  <c r="AD21" i="5" s="1"/>
  <c r="AA14" i="5"/>
  <c r="AB14" i="5" s="1"/>
  <c r="AC14" i="5" s="1"/>
  <c r="AD14" i="5" s="1"/>
  <c r="U13" i="5"/>
  <c r="W13" i="5" s="1"/>
  <c r="Y11" i="5"/>
  <c r="AB11" i="5" s="1"/>
  <c r="AC11" i="5" s="1"/>
  <c r="AD11" i="5" s="1"/>
  <c r="AB8" i="5"/>
  <c r="AC8" i="5" s="1"/>
  <c r="AD8" i="5" s="1"/>
  <c r="AA18" i="5"/>
  <c r="AB18" i="5" s="1"/>
  <c r="AC18" i="5" s="1"/>
  <c r="AD18" i="5" s="1"/>
  <c r="W11" i="5"/>
  <c r="AB7" i="5"/>
  <c r="AC7" i="5" s="1"/>
  <c r="AD7" i="5" s="1"/>
  <c r="AB28" i="5"/>
  <c r="AC28" i="5" s="1"/>
  <c r="AD28" i="5" s="1"/>
  <c r="Q14" i="5"/>
  <c r="Q10" i="5"/>
  <c r="Q7" i="5"/>
  <c r="Y5" i="5"/>
  <c r="V3" i="5"/>
  <c r="V4" i="5" s="1"/>
  <c r="AB26" i="5"/>
  <c r="AC26" i="5" s="1"/>
  <c r="AD26" i="5" s="1"/>
  <c r="Q20" i="5"/>
  <c r="AA13" i="5"/>
  <c r="AB13" i="5" s="1"/>
  <c r="AC13" i="5" s="1"/>
  <c r="AD13" i="5" s="1"/>
  <c r="AA5" i="5"/>
  <c r="Q4" i="5"/>
  <c r="Q11" i="5"/>
  <c r="AA27" i="5"/>
  <c r="AB27" i="5" s="1"/>
  <c r="AC27" i="5" s="1"/>
  <c r="AD27" i="5" s="1"/>
  <c r="Q27" i="5"/>
  <c r="U25" i="5"/>
  <c r="W25" i="5" s="1"/>
  <c r="Q23" i="5"/>
  <c r="Q13" i="5"/>
  <c r="Y12" i="5"/>
  <c r="AB12" i="5" s="1"/>
  <c r="AC12" i="5" s="1"/>
  <c r="AD12" i="5" s="1"/>
  <c r="U7" i="5"/>
  <c r="W7" i="5" s="1"/>
  <c r="AB4" i="5"/>
  <c r="AC4" i="5" s="1"/>
  <c r="AD4" i="5" s="1"/>
  <c r="AA23" i="5"/>
  <c r="W16" i="5"/>
  <c r="W12" i="5"/>
  <c r="W20" i="5"/>
  <c r="AA10" i="5"/>
  <c r="Y20" i="5"/>
  <c r="AB20" i="5" s="1"/>
  <c r="AC20" i="5" s="1"/>
  <c r="AD20" i="5" s="1"/>
  <c r="AA2" i="5"/>
  <c r="Z2" i="5"/>
  <c r="Y2" i="5"/>
  <c r="E22" i="5"/>
  <c r="AO85" i="8" l="1"/>
  <c r="AM85" i="8"/>
  <c r="AP85" i="8" s="1"/>
  <c r="AN85" i="8"/>
  <c r="AG90" i="8"/>
  <c r="AJ90" i="8"/>
  <c r="AK90" i="8" s="1"/>
  <c r="AN88" i="8"/>
  <c r="AM88" i="8"/>
  <c r="AO88" i="8"/>
  <c r="AO89" i="8"/>
  <c r="AN89" i="8"/>
  <c r="AN86" i="8"/>
  <c r="AM86" i="8"/>
  <c r="AM87" i="8"/>
  <c r="AO87" i="8"/>
  <c r="AC90" i="8"/>
  <c r="AL90" i="8"/>
  <c r="AC4" i="8"/>
  <c r="U4" i="8"/>
  <c r="T5" i="8"/>
  <c r="V5" i="8" s="1"/>
  <c r="Z5" i="8" s="1"/>
  <c r="AA5" i="8" s="1"/>
  <c r="AB5" i="8" s="1"/>
  <c r="U90" i="8"/>
  <c r="Q92" i="8"/>
  <c r="P92" i="8"/>
  <c r="X92" i="8"/>
  <c r="O93" i="8"/>
  <c r="AD93" i="8" s="1"/>
  <c r="AE93" i="8" s="1"/>
  <c r="AF93" i="8" s="1"/>
  <c r="R91" i="8"/>
  <c r="T91" i="8"/>
  <c r="V91" i="8" s="1"/>
  <c r="Z91" i="8" s="1"/>
  <c r="AA91" i="8" s="1"/>
  <c r="AB91" i="8" s="1"/>
  <c r="O7" i="8"/>
  <c r="P7" i="8" s="1"/>
  <c r="Q6" i="8"/>
  <c r="T6" i="8" s="1"/>
  <c r="V6" i="8" s="1"/>
  <c r="X6" i="8"/>
  <c r="P6" i="8"/>
  <c r="V38" i="7"/>
  <c r="Z38" i="7" s="1"/>
  <c r="AA38" i="7" s="1"/>
  <c r="AB38" i="7" s="1"/>
  <c r="AC38" i="7" s="1"/>
  <c r="V39" i="7"/>
  <c r="Z39" i="7" s="1"/>
  <c r="AA39" i="7" s="1"/>
  <c r="AB39" i="7" s="1"/>
  <c r="AC39" i="7" s="1"/>
  <c r="X40" i="7"/>
  <c r="P40" i="7"/>
  <c r="Q40" i="7"/>
  <c r="T40" i="7" s="1"/>
  <c r="O41" i="7"/>
  <c r="AB23" i="5"/>
  <c r="AC23" i="5" s="1"/>
  <c r="AD23" i="5" s="1"/>
  <c r="V5" i="5"/>
  <c r="V6" i="5" s="1"/>
  <c r="V7" i="5" s="1"/>
  <c r="V8" i="5" s="1"/>
  <c r="V9" i="5" s="1"/>
  <c r="V10" i="5" s="1"/>
  <c r="V11" i="5" s="1"/>
  <c r="V12" i="5" s="1"/>
  <c r="V13" i="5" s="1"/>
  <c r="V14" i="5" s="1"/>
  <c r="V15" i="5" s="1"/>
  <c r="V16" i="5" s="1"/>
  <c r="V17" i="5" s="1"/>
  <c r="V18" i="5" s="1"/>
  <c r="V19" i="5" s="1"/>
  <c r="V20" i="5" s="1"/>
  <c r="V21" i="5" s="1"/>
  <c r="V22" i="5" s="1"/>
  <c r="V23" i="5" s="1"/>
  <c r="V24" i="5" s="1"/>
  <c r="V25" i="5" s="1"/>
  <c r="V26" i="5" s="1"/>
  <c r="V27" i="5" s="1"/>
  <c r="V28" i="5" s="1"/>
  <c r="AB5" i="5"/>
  <c r="AC5" i="5" s="1"/>
  <c r="AD5" i="5" s="1"/>
  <c r="AB10" i="5"/>
  <c r="AC10" i="5" s="1"/>
  <c r="AD10" i="5" s="1"/>
  <c r="X7" i="5"/>
  <c r="X14" i="5"/>
  <c r="X17" i="5"/>
  <c r="X21" i="5"/>
  <c r="X3" i="5"/>
  <c r="X26" i="5"/>
  <c r="X6" i="5"/>
  <c r="X23" i="5"/>
  <c r="X27" i="5"/>
  <c r="X5" i="5"/>
  <c r="X13" i="5"/>
  <c r="X20" i="5"/>
  <c r="X19" i="5"/>
  <c r="X25" i="5"/>
  <c r="X4" i="5"/>
  <c r="X12" i="5"/>
  <c r="X16" i="5"/>
  <c r="X24" i="5"/>
  <c r="X11" i="5"/>
  <c r="X10" i="5"/>
  <c r="X22" i="5"/>
  <c r="X28" i="5"/>
  <c r="X9" i="5"/>
  <c r="X15" i="5"/>
  <c r="X18" i="5"/>
  <c r="X8" i="5"/>
  <c r="X2" i="5"/>
  <c r="N31" i="5"/>
  <c r="N30" i="5"/>
  <c r="K30" i="5"/>
  <c r="O2" i="5"/>
  <c r="O3" i="5" s="1"/>
  <c r="O4" i="5" s="1"/>
  <c r="O5" i="5" s="1"/>
  <c r="O6" i="5" s="1"/>
  <c r="O7" i="5" s="1"/>
  <c r="O8" i="5" s="1"/>
  <c r="O9" i="5" s="1"/>
  <c r="O10" i="5" s="1"/>
  <c r="O11" i="5" s="1"/>
  <c r="O12" i="5" s="1"/>
  <c r="O13" i="5" s="1"/>
  <c r="O14" i="5" s="1"/>
  <c r="O15" i="5" s="1"/>
  <c r="O16" i="5" s="1"/>
  <c r="O17" i="5" s="1"/>
  <c r="O18" i="5" s="1"/>
  <c r="O19" i="5" s="1"/>
  <c r="O20" i="5" s="1"/>
  <c r="O21" i="5" s="1"/>
  <c r="O22" i="5" s="1"/>
  <c r="O23" i="5" s="1"/>
  <c r="O24" i="5" s="1"/>
  <c r="O25" i="5" s="1"/>
  <c r="O26" i="5" s="1"/>
  <c r="O27" i="5" s="1"/>
  <c r="O28" i="5" s="1"/>
  <c r="AR85" i="8" l="1"/>
  <c r="AQ85" i="8"/>
  <c r="AG91" i="8"/>
  <c r="AJ91" i="8"/>
  <c r="AK91" i="8" s="1"/>
  <c r="AL91" i="8" s="1"/>
  <c r="AM90" i="8"/>
  <c r="AN90" i="8"/>
  <c r="AO90" i="8"/>
  <c r="AC91" i="8"/>
  <c r="U5" i="8"/>
  <c r="U6" i="8" s="1"/>
  <c r="AC5" i="8"/>
  <c r="R6" i="8"/>
  <c r="Q93" i="8"/>
  <c r="P93" i="8"/>
  <c r="X93" i="8"/>
  <c r="O94" i="8"/>
  <c r="AD94" i="8" s="1"/>
  <c r="AE94" i="8" s="1"/>
  <c r="AF94" i="8" s="1"/>
  <c r="U91" i="8"/>
  <c r="R92" i="8"/>
  <c r="T92" i="8"/>
  <c r="V92" i="8" s="1"/>
  <c r="Z92" i="8" s="1"/>
  <c r="AA92" i="8" s="1"/>
  <c r="AB92" i="8" s="1"/>
  <c r="O8" i="8"/>
  <c r="Q7" i="8"/>
  <c r="X7" i="8"/>
  <c r="Z6" i="8"/>
  <c r="AA6" i="8" s="1"/>
  <c r="AB6" i="8" s="1"/>
  <c r="Q41" i="7"/>
  <c r="T41" i="7" s="1"/>
  <c r="P41" i="7"/>
  <c r="O42" i="7"/>
  <c r="X41" i="7"/>
  <c r="N32" i="5"/>
  <c r="AB2" i="5"/>
  <c r="AC2" i="5" s="1"/>
  <c r="AB6" i="1"/>
  <c r="Q6" i="1"/>
  <c r="AC6" i="1" s="1"/>
  <c r="R7" i="8" l="1"/>
  <c r="AG92" i="8"/>
  <c r="AJ92" i="8"/>
  <c r="AK92" i="8" s="1"/>
  <c r="AL92" i="8" s="1"/>
  <c r="AO91" i="8"/>
  <c r="AN91" i="8"/>
  <c r="AM91" i="8"/>
  <c r="AC92" i="8"/>
  <c r="T93" i="8"/>
  <c r="R93" i="8"/>
  <c r="Q94" i="8"/>
  <c r="P94" i="8"/>
  <c r="X94" i="8"/>
  <c r="O95" i="8"/>
  <c r="AD95" i="8" s="1"/>
  <c r="AE95" i="8" s="1"/>
  <c r="AF95" i="8" s="1"/>
  <c r="U92" i="8"/>
  <c r="O9" i="8"/>
  <c r="Q8" i="8"/>
  <c r="T8" i="8" s="1"/>
  <c r="V8" i="8" s="1"/>
  <c r="X8" i="8"/>
  <c r="P8" i="8"/>
  <c r="T7" i="8"/>
  <c r="V7" i="8" s="1"/>
  <c r="Z7" i="8" s="1"/>
  <c r="AA7" i="8" s="1"/>
  <c r="AB7" i="8" s="1"/>
  <c r="AC7" i="8" s="1"/>
  <c r="AC6" i="8"/>
  <c r="AC31" i="5"/>
  <c r="AC30" i="5"/>
  <c r="V40" i="7"/>
  <c r="Z40" i="7" s="1"/>
  <c r="AA40" i="7" s="1"/>
  <c r="AB40" i="7" s="1"/>
  <c r="AC40" i="7" s="1"/>
  <c r="V41" i="7"/>
  <c r="Z41" i="7" s="1"/>
  <c r="AA41" i="7" s="1"/>
  <c r="AB41" i="7" s="1"/>
  <c r="AC41" i="7" s="1"/>
  <c r="Q42" i="7"/>
  <c r="T42" i="7" s="1"/>
  <c r="P42" i="7"/>
  <c r="O43" i="7"/>
  <c r="Q43" i="7" s="1"/>
  <c r="T43" i="7" s="1"/>
  <c r="X42" i="7"/>
  <c r="AD2" i="5"/>
  <c r="W30" i="5"/>
  <c r="U30" i="5"/>
  <c r="AB7" i="1"/>
  <c r="AN92" i="8" l="1"/>
  <c r="AO92" i="8"/>
  <c r="AM92" i="8"/>
  <c r="V93" i="8"/>
  <c r="Z93" i="8" s="1"/>
  <c r="AA93" i="8" s="1"/>
  <c r="AB93" i="8" s="1"/>
  <c r="U93" i="8"/>
  <c r="R8" i="8"/>
  <c r="P9" i="8"/>
  <c r="X9" i="8"/>
  <c r="Q95" i="8"/>
  <c r="O96" i="8"/>
  <c r="AD96" i="8" s="1"/>
  <c r="AE96" i="8" s="1"/>
  <c r="AF96" i="8" s="1"/>
  <c r="P95" i="8"/>
  <c r="X95" i="8"/>
  <c r="T94" i="8"/>
  <c r="V94" i="8" s="1"/>
  <c r="Z94" i="8" s="1"/>
  <c r="AA94" i="8" s="1"/>
  <c r="AB94" i="8" s="1"/>
  <c r="R94" i="8"/>
  <c r="U7" i="8"/>
  <c r="U8" i="8" s="1"/>
  <c r="O10" i="8"/>
  <c r="P10" i="8" s="1"/>
  <c r="Q9" i="8"/>
  <c r="T9" i="8" s="1"/>
  <c r="V9" i="8" s="1"/>
  <c r="Z8" i="8"/>
  <c r="AA8" i="8" s="1"/>
  <c r="AB8" i="8" s="1"/>
  <c r="AC8" i="8" s="1"/>
  <c r="V43" i="7"/>
  <c r="Z43" i="7" s="1"/>
  <c r="O44" i="7"/>
  <c r="Q44" i="7" s="1"/>
  <c r="T44" i="7" s="1"/>
  <c r="P43" i="7"/>
  <c r="X43" i="7"/>
  <c r="T13" i="1"/>
  <c r="T14" i="1"/>
  <c r="AA14" i="1" s="1"/>
  <c r="T15" i="1"/>
  <c r="AA15" i="1" s="1"/>
  <c r="T16" i="1"/>
  <c r="T17" i="1"/>
  <c r="AA17" i="1" s="1"/>
  <c r="T18" i="1"/>
  <c r="T19" i="1"/>
  <c r="AA19" i="1" s="1"/>
  <c r="T20" i="1"/>
  <c r="T21" i="1"/>
  <c r="T22" i="1"/>
  <c r="AA22" i="1" s="1"/>
  <c r="T23" i="1"/>
  <c r="T24" i="1"/>
  <c r="T25" i="1"/>
  <c r="T26" i="1"/>
  <c r="V26" i="1" s="1"/>
  <c r="T27" i="1"/>
  <c r="T28" i="1"/>
  <c r="T29" i="1"/>
  <c r="T30" i="1"/>
  <c r="T31" i="1"/>
  <c r="T7" i="1"/>
  <c r="AA7" i="1" s="1"/>
  <c r="T8" i="1"/>
  <c r="T9" i="1"/>
  <c r="T10" i="1"/>
  <c r="T11" i="1"/>
  <c r="AA11" i="1" s="1"/>
  <c r="T12" i="1"/>
  <c r="T6" i="1"/>
  <c r="AA6" i="1" s="1"/>
  <c r="P5" i="1"/>
  <c r="P6" i="1" s="1"/>
  <c r="P7" i="1" s="1"/>
  <c r="P8" i="1" s="1"/>
  <c r="P9" i="1" s="1"/>
  <c r="P10" i="1" s="1"/>
  <c r="P11" i="1" s="1"/>
  <c r="P12" i="1" s="1"/>
  <c r="P13" i="1" s="1"/>
  <c r="P14" i="1" s="1"/>
  <c r="P15" i="1" s="1"/>
  <c r="P16" i="1" s="1"/>
  <c r="P17" i="1" s="1"/>
  <c r="P18" i="1" s="1"/>
  <c r="P19" i="1" s="1"/>
  <c r="P20" i="1" s="1"/>
  <c r="P21" i="1" s="1"/>
  <c r="P22" i="1" s="1"/>
  <c r="P23" i="1" s="1"/>
  <c r="P24" i="1" s="1"/>
  <c r="P25" i="1" s="1"/>
  <c r="P26" i="1" s="1"/>
  <c r="P27" i="1" s="1"/>
  <c r="P28" i="1" s="1"/>
  <c r="P29" i="1" s="1"/>
  <c r="P30" i="1" s="1"/>
  <c r="P31" i="1" s="1"/>
  <c r="AC27" i="1"/>
  <c r="AC5" i="1"/>
  <c r="AB11" i="1"/>
  <c r="AB12" i="1"/>
  <c r="AB13" i="1"/>
  <c r="AB14" i="1"/>
  <c r="AB15" i="1"/>
  <c r="AB16" i="1"/>
  <c r="AB17" i="1"/>
  <c r="AB20" i="1"/>
  <c r="AB21" i="1"/>
  <c r="AB22" i="1"/>
  <c r="AB23" i="1"/>
  <c r="AB24" i="1"/>
  <c r="AB28" i="1"/>
  <c r="AB29" i="1"/>
  <c r="AB30" i="1"/>
  <c r="AB31" i="1"/>
  <c r="AB8" i="1"/>
  <c r="AB9" i="1"/>
  <c r="AB10" i="1"/>
  <c r="AB5" i="1"/>
  <c r="AA30" i="1"/>
  <c r="AA5" i="1"/>
  <c r="AG93" i="8" l="1"/>
  <c r="AJ93" i="8"/>
  <c r="AK93" i="8" s="1"/>
  <c r="AG94" i="8"/>
  <c r="AJ94" i="8"/>
  <c r="AK94" i="8" s="1"/>
  <c r="AL94" i="8" s="1"/>
  <c r="AC93" i="8"/>
  <c r="AL93" i="8"/>
  <c r="AC94" i="8"/>
  <c r="R9" i="8"/>
  <c r="U94" i="8"/>
  <c r="O97" i="8"/>
  <c r="AD97" i="8" s="1"/>
  <c r="AE97" i="8" s="1"/>
  <c r="AF97" i="8" s="1"/>
  <c r="X96" i="8"/>
  <c r="Q96" i="8"/>
  <c r="P96" i="8"/>
  <c r="T95" i="8"/>
  <c r="V95" i="8" s="1"/>
  <c r="Z95" i="8" s="1"/>
  <c r="AA95" i="8" s="1"/>
  <c r="AB95" i="8" s="1"/>
  <c r="R95" i="8"/>
  <c r="O11" i="8"/>
  <c r="P11" i="8" s="1"/>
  <c r="Q10" i="8"/>
  <c r="T10" i="8" s="1"/>
  <c r="V10" i="8" s="1"/>
  <c r="X10" i="8"/>
  <c r="Z9" i="8"/>
  <c r="AA9" i="8" s="1"/>
  <c r="AB9" i="8" s="1"/>
  <c r="U9" i="8"/>
  <c r="AA43" i="7"/>
  <c r="AB43" i="7" s="1"/>
  <c r="AC43" i="7" s="1"/>
  <c r="P44" i="7"/>
  <c r="V44" i="7"/>
  <c r="Z44" i="7" s="1"/>
  <c r="V42" i="7"/>
  <c r="Z42" i="7" s="1"/>
  <c r="AA42" i="7" s="1"/>
  <c r="AB42" i="7" s="1"/>
  <c r="AC42" i="7" s="1"/>
  <c r="X44" i="7"/>
  <c r="O45" i="7"/>
  <c r="AD6" i="1"/>
  <c r="AE6" i="1" s="1"/>
  <c r="AF6" i="1" s="1"/>
  <c r="AA26" i="1"/>
  <c r="V29" i="1"/>
  <c r="X29" i="1" s="1"/>
  <c r="V21" i="1"/>
  <c r="X21" i="1" s="1"/>
  <c r="AA21" i="1"/>
  <c r="V11" i="1"/>
  <c r="X11" i="1" s="1"/>
  <c r="AA20" i="1"/>
  <c r="V20" i="1"/>
  <c r="X20" i="1" s="1"/>
  <c r="AA27" i="1"/>
  <c r="V27" i="1"/>
  <c r="AD5" i="1"/>
  <c r="AE5" i="1" s="1"/>
  <c r="AF5" i="1" s="1"/>
  <c r="AA9" i="1"/>
  <c r="V9" i="1"/>
  <c r="X9" i="1" s="1"/>
  <c r="V18" i="1"/>
  <c r="X18" i="1" s="1"/>
  <c r="V12" i="1"/>
  <c r="X12" i="1" s="1"/>
  <c r="V13" i="1"/>
  <c r="X13" i="1" s="1"/>
  <c r="AA28" i="1"/>
  <c r="V28" i="1"/>
  <c r="X28" i="1" s="1"/>
  <c r="Z28" i="1" s="1"/>
  <c r="AA10" i="1"/>
  <c r="V10" i="1"/>
  <c r="X10" i="1" s="1"/>
  <c r="V19" i="1"/>
  <c r="X19" i="1" s="1"/>
  <c r="AA25" i="1"/>
  <c r="X26" i="1"/>
  <c r="V25" i="1"/>
  <c r="X25" i="1" s="1"/>
  <c r="V7" i="1"/>
  <c r="X7" i="1" s="1"/>
  <c r="V24" i="1"/>
  <c r="X24" i="1" s="1"/>
  <c r="AA16" i="1"/>
  <c r="V16" i="1"/>
  <c r="X16" i="1" s="1"/>
  <c r="AA8" i="1"/>
  <c r="V8" i="1"/>
  <c r="X8" i="1" s="1"/>
  <c r="V17" i="1"/>
  <c r="X17" i="1" s="1"/>
  <c r="AA29" i="1"/>
  <c r="AA13" i="1"/>
  <c r="AA31" i="1"/>
  <c r="V31" i="1"/>
  <c r="X31" i="1" s="1"/>
  <c r="AA23" i="1"/>
  <c r="V23" i="1"/>
  <c r="X23" i="1" s="1"/>
  <c r="V15" i="1"/>
  <c r="X15" i="1" s="1"/>
  <c r="AA24" i="1"/>
  <c r="AA12" i="1"/>
  <c r="V6" i="1"/>
  <c r="X6" i="1" s="1"/>
  <c r="V30" i="1"/>
  <c r="X30" i="1" s="1"/>
  <c r="V22" i="1"/>
  <c r="X22" i="1" s="1"/>
  <c r="V14" i="1"/>
  <c r="X14" i="1" s="1"/>
  <c r="AA18" i="1"/>
  <c r="AG95" i="8" l="1"/>
  <c r="AJ95" i="8"/>
  <c r="AK95" i="8" s="1"/>
  <c r="AN93" i="8"/>
  <c r="AM93" i="8"/>
  <c r="AO93" i="8"/>
  <c r="AM94" i="8"/>
  <c r="AN94" i="8"/>
  <c r="AO94" i="8"/>
  <c r="AC95" i="8"/>
  <c r="AL95" i="8"/>
  <c r="T96" i="8"/>
  <c r="V96" i="8" s="1"/>
  <c r="Z96" i="8" s="1"/>
  <c r="AA96" i="8" s="1"/>
  <c r="AB96" i="8" s="1"/>
  <c r="R96" i="8"/>
  <c r="X97" i="8"/>
  <c r="O98" i="8"/>
  <c r="AD98" i="8" s="1"/>
  <c r="AE98" i="8" s="1"/>
  <c r="AF98" i="8" s="1"/>
  <c r="P97" i="8"/>
  <c r="Q97" i="8"/>
  <c r="U95" i="8"/>
  <c r="R10" i="8"/>
  <c r="O12" i="8"/>
  <c r="P12" i="8" s="1"/>
  <c r="Q11" i="8"/>
  <c r="T11" i="8" s="1"/>
  <c r="V11" i="8" s="1"/>
  <c r="X11" i="8"/>
  <c r="AC9" i="8"/>
  <c r="Z10" i="8"/>
  <c r="AA10" i="8" s="1"/>
  <c r="AB10" i="8" s="1"/>
  <c r="U10" i="8"/>
  <c r="AA44" i="7"/>
  <c r="AB44" i="7" s="1"/>
  <c r="AC44" i="7" s="1"/>
  <c r="P45" i="7"/>
  <c r="Q45" i="7"/>
  <c r="T45" i="7" s="1"/>
  <c r="X45" i="7"/>
  <c r="O46" i="7"/>
  <c r="Z12" i="1"/>
  <c r="Z13" i="1"/>
  <c r="Z30" i="1"/>
  <c r="Z16" i="1"/>
  <c r="Z8" i="1"/>
  <c r="Z11" i="1"/>
  <c r="Z24" i="1"/>
  <c r="Z10" i="1"/>
  <c r="Z31" i="1"/>
  <c r="Z19" i="1"/>
  <c r="Z17" i="1"/>
  <c r="Z21" i="1"/>
  <c r="Z15" i="1"/>
  <c r="Z22" i="1"/>
  <c r="Z14" i="1"/>
  <c r="Z9" i="1"/>
  <c r="Z29" i="1"/>
  <c r="Z20" i="1"/>
  <c r="Z25" i="1"/>
  <c r="X32" i="1"/>
  <c r="Z6" i="1"/>
  <c r="AD27" i="1"/>
  <c r="AE27" i="1" s="1"/>
  <c r="AF27" i="1" s="1"/>
  <c r="W6" i="1"/>
  <c r="W7" i="1" s="1"/>
  <c r="W8" i="1" s="1"/>
  <c r="W9" i="1" s="1"/>
  <c r="W10" i="1" s="1"/>
  <c r="W11" i="1" s="1"/>
  <c r="W12" i="1" s="1"/>
  <c r="W13" i="1" s="1"/>
  <c r="W14" i="1" s="1"/>
  <c r="W15" i="1" s="1"/>
  <c r="W16" i="1" s="1"/>
  <c r="W17" i="1" s="1"/>
  <c r="W18" i="1" s="1"/>
  <c r="W19" i="1" s="1"/>
  <c r="W20" i="1" s="1"/>
  <c r="W21" i="1" s="1"/>
  <c r="W22" i="1" s="1"/>
  <c r="W23" i="1" s="1"/>
  <c r="W24" i="1" s="1"/>
  <c r="W25" i="1" s="1"/>
  <c r="W26" i="1" s="1"/>
  <c r="W27" i="1" s="1"/>
  <c r="W28" i="1" s="1"/>
  <c r="W29" i="1" s="1"/>
  <c r="W30" i="1" s="1"/>
  <c r="W31" i="1" s="1"/>
  <c r="V32" i="1"/>
  <c r="Z23" i="1"/>
  <c r="Z7" i="1"/>
  <c r="Z18" i="1"/>
  <c r="Z27" i="1"/>
  <c r="Z26" i="1"/>
  <c r="Q7" i="1"/>
  <c r="AC7" i="1" s="1"/>
  <c r="Q8" i="1"/>
  <c r="Q9" i="1"/>
  <c r="Q10" i="1"/>
  <c r="Q11" i="1"/>
  <c r="Q12" i="1"/>
  <c r="Q13" i="1"/>
  <c r="Q14" i="1"/>
  <c r="Q15" i="1"/>
  <c r="Q16" i="1"/>
  <c r="Q17" i="1"/>
  <c r="Q18" i="1"/>
  <c r="Q19" i="1"/>
  <c r="Q20" i="1"/>
  <c r="Q21" i="1"/>
  <c r="Q22" i="1"/>
  <c r="Q23" i="1"/>
  <c r="Q24" i="1"/>
  <c r="Q25" i="1"/>
  <c r="Q26" i="1"/>
  <c r="Q28" i="1"/>
  <c r="Q29" i="1"/>
  <c r="Q30" i="1"/>
  <c r="Q31" i="1"/>
  <c r="AC31" i="1" s="1"/>
  <c r="AD31" i="1" s="1"/>
  <c r="AE31" i="1" s="1"/>
  <c r="AF31" i="1" s="1"/>
  <c r="O34" i="1"/>
  <c r="O33" i="1"/>
  <c r="AG96" i="8" l="1"/>
  <c r="AJ96" i="8"/>
  <c r="AK96" i="8" s="1"/>
  <c r="R11" i="8"/>
  <c r="AN95" i="8"/>
  <c r="AM95" i="8"/>
  <c r="AO95" i="8"/>
  <c r="AC96" i="8"/>
  <c r="U96" i="8"/>
  <c r="T97" i="8"/>
  <c r="V97" i="8" s="1"/>
  <c r="Z97" i="8" s="1"/>
  <c r="AA97" i="8" s="1"/>
  <c r="AB97" i="8" s="1"/>
  <c r="R97" i="8"/>
  <c r="P98" i="8"/>
  <c r="X98" i="8"/>
  <c r="O99" i="8"/>
  <c r="AD99" i="8" s="1"/>
  <c r="AE99" i="8" s="1"/>
  <c r="AF99" i="8" s="1"/>
  <c r="Q98" i="8"/>
  <c r="O13" i="8"/>
  <c r="P13" i="8" s="1"/>
  <c r="Q12" i="8"/>
  <c r="R12" i="8" s="1"/>
  <c r="X12" i="8"/>
  <c r="AC10" i="8"/>
  <c r="Z11" i="8"/>
  <c r="AA11" i="8" s="1"/>
  <c r="AB11" i="8" s="1"/>
  <c r="AC11" i="8" s="1"/>
  <c r="T12" i="8"/>
  <c r="V12" i="8" s="1"/>
  <c r="U11" i="8"/>
  <c r="V45" i="7"/>
  <c r="Z45" i="7" s="1"/>
  <c r="AA45" i="7" s="1"/>
  <c r="AB45" i="7" s="1"/>
  <c r="AC45" i="7" s="1"/>
  <c r="P46" i="7"/>
  <c r="Q46" i="7"/>
  <c r="T46" i="7" s="1"/>
  <c r="O47" i="7"/>
  <c r="O48" i="7" s="1"/>
  <c r="Q48" i="7" s="1"/>
  <c r="T48" i="7" s="1"/>
  <c r="X46" i="7"/>
  <c r="O32" i="1"/>
  <c r="Z32" i="1"/>
  <c r="AC12" i="1"/>
  <c r="AD12" i="1" s="1"/>
  <c r="AE12" i="1" s="1"/>
  <c r="AF12" i="1" s="1"/>
  <c r="R13" i="1"/>
  <c r="AC30" i="1"/>
  <c r="AD30" i="1" s="1"/>
  <c r="AE30" i="1" s="1"/>
  <c r="AF30" i="1" s="1"/>
  <c r="R31" i="1"/>
  <c r="AC29" i="1"/>
  <c r="AD29" i="1" s="1"/>
  <c r="AE29" i="1" s="1"/>
  <c r="AF29" i="1" s="1"/>
  <c r="R30" i="1"/>
  <c r="AC28" i="1"/>
  <c r="AD28" i="1" s="1"/>
  <c r="AE28" i="1" s="1"/>
  <c r="AF28" i="1" s="1"/>
  <c r="R29" i="1"/>
  <c r="R28" i="1"/>
  <c r="AC19" i="1"/>
  <c r="AD19" i="1" s="1"/>
  <c r="AE19" i="1" s="1"/>
  <c r="AF19" i="1" s="1"/>
  <c r="R20" i="1"/>
  <c r="AC11" i="1"/>
  <c r="AD11" i="1" s="1"/>
  <c r="AE11" i="1" s="1"/>
  <c r="AF11" i="1" s="1"/>
  <c r="R12" i="1"/>
  <c r="AC14" i="1"/>
  <c r="AD14" i="1" s="1"/>
  <c r="AE14" i="1" s="1"/>
  <c r="AF14" i="1" s="1"/>
  <c r="R15" i="1"/>
  <c r="AC13" i="1"/>
  <c r="AD13" i="1" s="1"/>
  <c r="AE13" i="1" s="1"/>
  <c r="AF13" i="1" s="1"/>
  <c r="R14" i="1"/>
  <c r="AC20" i="1"/>
  <c r="AD20" i="1" s="1"/>
  <c r="AE20" i="1" s="1"/>
  <c r="AF20" i="1" s="1"/>
  <c r="R21" i="1"/>
  <c r="AC26" i="1"/>
  <c r="AD26" i="1" s="1"/>
  <c r="AE26" i="1" s="1"/>
  <c r="AF26" i="1" s="1"/>
  <c r="R27" i="1"/>
  <c r="AC18" i="1"/>
  <c r="AD18" i="1" s="1"/>
  <c r="AE18" i="1" s="1"/>
  <c r="AF18" i="1" s="1"/>
  <c r="R19" i="1"/>
  <c r="AC10" i="1"/>
  <c r="AD10" i="1" s="1"/>
  <c r="AE10" i="1" s="1"/>
  <c r="AF10" i="1" s="1"/>
  <c r="R11" i="1"/>
  <c r="AC25" i="1"/>
  <c r="AD25" i="1" s="1"/>
  <c r="AE25" i="1" s="1"/>
  <c r="AF25" i="1" s="1"/>
  <c r="R26" i="1"/>
  <c r="AC17" i="1"/>
  <c r="AD17" i="1" s="1"/>
  <c r="AE17" i="1" s="1"/>
  <c r="AF17" i="1" s="1"/>
  <c r="R18" i="1"/>
  <c r="AC9" i="1"/>
  <c r="AD9" i="1" s="1"/>
  <c r="AE9" i="1" s="1"/>
  <c r="AF9" i="1" s="1"/>
  <c r="R10" i="1"/>
  <c r="AC24" i="1"/>
  <c r="AD24" i="1" s="1"/>
  <c r="AE24" i="1" s="1"/>
  <c r="AF24" i="1" s="1"/>
  <c r="R25" i="1"/>
  <c r="AC16" i="1"/>
  <c r="AD16" i="1" s="1"/>
  <c r="AE16" i="1" s="1"/>
  <c r="AF16" i="1" s="1"/>
  <c r="R17" i="1"/>
  <c r="AC8" i="1"/>
  <c r="AD8" i="1" s="1"/>
  <c r="AE8" i="1" s="1"/>
  <c r="AF8" i="1" s="1"/>
  <c r="R9" i="1"/>
  <c r="AC22" i="1"/>
  <c r="AD22" i="1" s="1"/>
  <c r="AE22" i="1" s="1"/>
  <c r="AF22" i="1" s="1"/>
  <c r="R23" i="1"/>
  <c r="AC21" i="1"/>
  <c r="AD21" i="1" s="1"/>
  <c r="AE21" i="1" s="1"/>
  <c r="AF21" i="1" s="1"/>
  <c r="R22" i="1"/>
  <c r="R6" i="1"/>
  <c r="R7" i="1"/>
  <c r="AC23" i="1"/>
  <c r="AD23" i="1" s="1"/>
  <c r="AE23" i="1" s="1"/>
  <c r="AF23" i="1" s="1"/>
  <c r="R24" i="1"/>
  <c r="AC15" i="1"/>
  <c r="AD15" i="1" s="1"/>
  <c r="AE15" i="1" s="1"/>
  <c r="AF15" i="1" s="1"/>
  <c r="R16" i="1"/>
  <c r="AD7" i="1"/>
  <c r="AE7" i="1" s="1"/>
  <c r="AF7" i="1" s="1"/>
  <c r="R8" i="1"/>
  <c r="M32" i="1"/>
  <c r="V36" i="1" s="1"/>
  <c r="Q37" i="7"/>
  <c r="AG97" i="8" l="1"/>
  <c r="AJ97" i="8"/>
  <c r="AK97" i="8" s="1"/>
  <c r="AL97" i="8" s="1"/>
  <c r="AC97" i="8"/>
  <c r="U97" i="8"/>
  <c r="T98" i="8"/>
  <c r="V98" i="8" s="1"/>
  <c r="Z98" i="8" s="1"/>
  <c r="AA98" i="8" s="1"/>
  <c r="AB98" i="8" s="1"/>
  <c r="R98" i="8"/>
  <c r="Q99" i="8"/>
  <c r="P99" i="8"/>
  <c r="X99" i="8"/>
  <c r="O100" i="8"/>
  <c r="AD100" i="8" s="1"/>
  <c r="AE100" i="8" s="1"/>
  <c r="AF100" i="8" s="1"/>
  <c r="O14" i="8"/>
  <c r="P14" i="8" s="1"/>
  <c r="Q13" i="8"/>
  <c r="R13" i="8" s="1"/>
  <c r="X13" i="8"/>
  <c r="Z12" i="8"/>
  <c r="AA12" i="8" s="1"/>
  <c r="AB12" i="8" s="1"/>
  <c r="AC12" i="8" s="1"/>
  <c r="U12" i="8"/>
  <c r="T37" i="7"/>
  <c r="U37" i="7" s="1"/>
  <c r="U38" i="7" s="1"/>
  <c r="U39" i="7" s="1"/>
  <c r="U40" i="7" s="1"/>
  <c r="U41" i="7" s="1"/>
  <c r="U42" i="7" s="1"/>
  <c r="U43" i="7" s="1"/>
  <c r="U44" i="7" s="1"/>
  <c r="U45" i="7" s="1"/>
  <c r="V46" i="7"/>
  <c r="Z46" i="7" s="1"/>
  <c r="AA46" i="7" s="1"/>
  <c r="AB46" i="7" s="1"/>
  <c r="AC46" i="7" s="1"/>
  <c r="P47" i="7"/>
  <c r="Q47" i="7"/>
  <c r="T47" i="7" s="1"/>
  <c r="X47" i="7"/>
  <c r="R37" i="7"/>
  <c r="R38" i="7" s="1"/>
  <c r="R39" i="7" s="1"/>
  <c r="R40" i="7" s="1"/>
  <c r="R41" i="7" s="1"/>
  <c r="R42" i="7" s="1"/>
  <c r="R43" i="7" s="1"/>
  <c r="R44" i="7" s="1"/>
  <c r="R45" i="7" s="1"/>
  <c r="R46" i="7" s="1"/>
  <c r="AG98" i="8" l="1"/>
  <c r="AJ98" i="8"/>
  <c r="AK98" i="8" s="1"/>
  <c r="AN97" i="8"/>
  <c r="AO97" i="8"/>
  <c r="AM97" i="8"/>
  <c r="AC98" i="8"/>
  <c r="AL98" i="8"/>
  <c r="T13" i="8"/>
  <c r="V13" i="8" s="1"/>
  <c r="Z13" i="8" s="1"/>
  <c r="AA13" i="8" s="1"/>
  <c r="AB13" i="8" s="1"/>
  <c r="AC13" i="8" s="1"/>
  <c r="O101" i="8"/>
  <c r="AD101" i="8" s="1"/>
  <c r="AE101" i="8" s="1"/>
  <c r="AF101" i="8" s="1"/>
  <c r="Q100" i="8"/>
  <c r="P100" i="8"/>
  <c r="X100" i="8"/>
  <c r="T99" i="8"/>
  <c r="V99" i="8" s="1"/>
  <c r="Z99" i="8" s="1"/>
  <c r="AA99" i="8" s="1"/>
  <c r="AB99" i="8" s="1"/>
  <c r="R99" i="8"/>
  <c r="U98" i="8"/>
  <c r="O15" i="8"/>
  <c r="P15" i="8" s="1"/>
  <c r="Q14" i="8"/>
  <c r="T14" i="8" s="1"/>
  <c r="V14" i="8" s="1"/>
  <c r="X14" i="8"/>
  <c r="V37" i="7"/>
  <c r="Z37" i="7" s="1"/>
  <c r="AA37" i="7" s="1"/>
  <c r="AB37" i="7" s="1"/>
  <c r="AC37" i="7" s="1"/>
  <c r="U46" i="7"/>
  <c r="V47" i="7"/>
  <c r="Z47" i="7" s="1"/>
  <c r="AA47" i="7" s="1"/>
  <c r="AB47" i="7" s="1"/>
  <c r="AC47" i="7" s="1"/>
  <c r="R47" i="7"/>
  <c r="R48" i="7" s="1"/>
  <c r="P48" i="7"/>
  <c r="O49" i="7"/>
  <c r="X48" i="7"/>
  <c r="AG99" i="8" l="1"/>
  <c r="AJ99" i="8"/>
  <c r="AK99" i="8" s="1"/>
  <c r="AM98" i="8"/>
  <c r="AO98" i="8"/>
  <c r="AN98" i="8"/>
  <c r="AC99" i="8"/>
  <c r="AL99" i="8"/>
  <c r="U13" i="8"/>
  <c r="U14" i="8" s="1"/>
  <c r="R14" i="8"/>
  <c r="U99" i="8"/>
  <c r="T100" i="8"/>
  <c r="V100" i="8" s="1"/>
  <c r="Z100" i="8" s="1"/>
  <c r="AA100" i="8" s="1"/>
  <c r="AB100" i="8" s="1"/>
  <c r="R100" i="8"/>
  <c r="X101" i="8"/>
  <c r="O102" i="8"/>
  <c r="AD102" i="8" s="1"/>
  <c r="AE102" i="8" s="1"/>
  <c r="AF102" i="8" s="1"/>
  <c r="P101" i="8"/>
  <c r="Q101" i="8"/>
  <c r="O16" i="8"/>
  <c r="P16" i="8" s="1"/>
  <c r="Q15" i="8"/>
  <c r="T15" i="8" s="1"/>
  <c r="V15" i="8" s="1"/>
  <c r="X15" i="8"/>
  <c r="Z14" i="8"/>
  <c r="AA14" i="8" s="1"/>
  <c r="AB14" i="8" s="1"/>
  <c r="AC14" i="8" s="1"/>
  <c r="U47" i="7"/>
  <c r="V48" i="7"/>
  <c r="Z48" i="7" s="1"/>
  <c r="AA48" i="7" s="1"/>
  <c r="AB48" i="7" s="1"/>
  <c r="AC48" i="7" s="1"/>
  <c r="P49" i="7"/>
  <c r="Q49" i="7"/>
  <c r="T49" i="7" s="1"/>
  <c r="X49" i="7"/>
  <c r="O50" i="7"/>
  <c r="AG100" i="8" l="1"/>
  <c r="AJ100" i="8"/>
  <c r="AK100" i="8" s="1"/>
  <c r="AL100" i="8" s="1"/>
  <c r="AC100" i="8"/>
  <c r="AN99" i="8"/>
  <c r="AM99" i="8"/>
  <c r="AO99" i="8"/>
  <c r="R15" i="8"/>
  <c r="U100" i="8"/>
  <c r="T101" i="8"/>
  <c r="V101" i="8" s="1"/>
  <c r="Z101" i="8" s="1"/>
  <c r="AA101" i="8" s="1"/>
  <c r="AB101" i="8" s="1"/>
  <c r="R101" i="8"/>
  <c r="P102" i="8"/>
  <c r="O103" i="8"/>
  <c r="AD103" i="8" s="1"/>
  <c r="AE103" i="8" s="1"/>
  <c r="AF103" i="8" s="1"/>
  <c r="Q102" i="8"/>
  <c r="X102" i="8"/>
  <c r="O17" i="8"/>
  <c r="P17" i="8" s="1"/>
  <c r="Q16" i="8"/>
  <c r="X16" i="8"/>
  <c r="Z15" i="8"/>
  <c r="AA15" i="8" s="1"/>
  <c r="AB15" i="8" s="1"/>
  <c r="AC15" i="8" s="1"/>
  <c r="U15" i="8"/>
  <c r="T16" i="8"/>
  <c r="V16" i="8" s="1"/>
  <c r="U48" i="7"/>
  <c r="U49" i="7" s="1"/>
  <c r="P50" i="7"/>
  <c r="Q50" i="7"/>
  <c r="T50" i="7" s="1"/>
  <c r="V49" i="7"/>
  <c r="Z49" i="7" s="1"/>
  <c r="AA49" i="7" s="1"/>
  <c r="AB49" i="7" s="1"/>
  <c r="AC49" i="7" s="1"/>
  <c r="R49" i="7"/>
  <c r="O51" i="7"/>
  <c r="X50" i="7"/>
  <c r="AG101" i="8" l="1"/>
  <c r="AJ101" i="8"/>
  <c r="AK101" i="8" s="1"/>
  <c r="AN100" i="8"/>
  <c r="AM100" i="8"/>
  <c r="AO100" i="8"/>
  <c r="AC101" i="8"/>
  <c r="AL101" i="8"/>
  <c r="R16" i="8"/>
  <c r="U101" i="8"/>
  <c r="T102" i="8"/>
  <c r="V102" i="8" s="1"/>
  <c r="Z102" i="8" s="1"/>
  <c r="AA102" i="8" s="1"/>
  <c r="AB102" i="8" s="1"/>
  <c r="R102" i="8"/>
  <c r="O104" i="8"/>
  <c r="AD104" i="8" s="1"/>
  <c r="AE104" i="8" s="1"/>
  <c r="AF104" i="8" s="1"/>
  <c r="Q103" i="8"/>
  <c r="X103" i="8"/>
  <c r="P103" i="8"/>
  <c r="O18" i="8"/>
  <c r="P18" i="8" s="1"/>
  <c r="Q17" i="8"/>
  <c r="T17" i="8" s="1"/>
  <c r="V17" i="8" s="1"/>
  <c r="X17" i="8"/>
  <c r="Z16" i="8"/>
  <c r="AA16" i="8" s="1"/>
  <c r="AB16" i="8" s="1"/>
  <c r="AC16" i="8" s="1"/>
  <c r="U16" i="8"/>
  <c r="V50" i="7"/>
  <c r="Z50" i="7" s="1"/>
  <c r="AA50" i="7" s="1"/>
  <c r="AB50" i="7" s="1"/>
  <c r="AC50" i="7" s="1"/>
  <c r="R50" i="7"/>
  <c r="P51" i="7"/>
  <c r="Q51" i="7"/>
  <c r="T51" i="7" s="1"/>
  <c r="O52" i="7"/>
  <c r="X51" i="7"/>
  <c r="AG102" i="8" l="1"/>
  <c r="AJ102" i="8"/>
  <c r="AK102" i="8" s="1"/>
  <c r="AN101" i="8"/>
  <c r="AO101" i="8"/>
  <c r="AM101" i="8"/>
  <c r="AC102" i="8"/>
  <c r="AL102" i="8"/>
  <c r="R17" i="8"/>
  <c r="T103" i="8"/>
  <c r="V103" i="8" s="1"/>
  <c r="Z103" i="8" s="1"/>
  <c r="AA103" i="8" s="1"/>
  <c r="AB103" i="8" s="1"/>
  <c r="R103" i="8"/>
  <c r="X104" i="8"/>
  <c r="O105" i="8"/>
  <c r="AD105" i="8" s="1"/>
  <c r="AE105" i="8" s="1"/>
  <c r="AF105" i="8" s="1"/>
  <c r="Q104" i="8"/>
  <c r="P104" i="8"/>
  <c r="U102" i="8"/>
  <c r="O19" i="8"/>
  <c r="P19" i="8" s="1"/>
  <c r="Q18" i="8"/>
  <c r="T18" i="8" s="1"/>
  <c r="V18" i="8" s="1"/>
  <c r="X18" i="8"/>
  <c r="Z17" i="8"/>
  <c r="AA17" i="8" s="1"/>
  <c r="AB17" i="8" s="1"/>
  <c r="AC17" i="8" s="1"/>
  <c r="U17" i="8"/>
  <c r="O53" i="7"/>
  <c r="O54" i="7" s="1"/>
  <c r="Q52" i="7"/>
  <c r="T52" i="7" s="1"/>
  <c r="U50" i="7"/>
  <c r="V51" i="7"/>
  <c r="Z51" i="7" s="1"/>
  <c r="AA51" i="7" s="1"/>
  <c r="AB51" i="7" s="1"/>
  <c r="AC51" i="7" s="1"/>
  <c r="X52" i="7"/>
  <c r="P52" i="7"/>
  <c r="R51" i="7"/>
  <c r="U103" i="8" l="1"/>
  <c r="AG103" i="8"/>
  <c r="AJ103" i="8"/>
  <c r="AK103" i="8" s="1"/>
  <c r="AL103" i="8" s="1"/>
  <c r="AM102" i="8"/>
  <c r="AO102" i="8"/>
  <c r="AN102" i="8"/>
  <c r="AC103" i="8"/>
  <c r="R18" i="8"/>
  <c r="P105" i="8"/>
  <c r="X105" i="8"/>
  <c r="O106" i="8"/>
  <c r="AD106" i="8" s="1"/>
  <c r="AE106" i="8" s="1"/>
  <c r="AF106" i="8" s="1"/>
  <c r="Q105" i="8"/>
  <c r="R104" i="8"/>
  <c r="T104" i="8"/>
  <c r="V104" i="8" s="1"/>
  <c r="Z104" i="8" s="1"/>
  <c r="AA104" i="8" s="1"/>
  <c r="AB104" i="8" s="1"/>
  <c r="O20" i="8"/>
  <c r="P20" i="8" s="1"/>
  <c r="Q19" i="8"/>
  <c r="R19" i="8" s="1"/>
  <c r="X19" i="8"/>
  <c r="Z18" i="8"/>
  <c r="AA18" i="8" s="1"/>
  <c r="AB18" i="8" s="1"/>
  <c r="AC18" i="8" s="1"/>
  <c r="U18" i="8"/>
  <c r="Q53" i="7"/>
  <c r="X53" i="7"/>
  <c r="P53" i="7"/>
  <c r="V52" i="7"/>
  <c r="Z52" i="7" s="1"/>
  <c r="AA52" i="7" s="1"/>
  <c r="AB52" i="7" s="1"/>
  <c r="AC52" i="7" s="1"/>
  <c r="U51" i="7"/>
  <c r="R52" i="7"/>
  <c r="P54" i="7"/>
  <c r="Q54" i="7"/>
  <c r="T54" i="7" s="1"/>
  <c r="X54" i="7"/>
  <c r="O55" i="7"/>
  <c r="AG104" i="8" l="1"/>
  <c r="AJ104" i="8"/>
  <c r="AK104" i="8" s="1"/>
  <c r="AN103" i="8"/>
  <c r="AM103" i="8"/>
  <c r="AO103" i="8"/>
  <c r="AC104" i="8"/>
  <c r="AL104" i="8"/>
  <c r="T19" i="8"/>
  <c r="V19" i="8" s="1"/>
  <c r="Z19" i="8" s="1"/>
  <c r="AA19" i="8" s="1"/>
  <c r="AB19" i="8" s="1"/>
  <c r="AC19" i="8" s="1"/>
  <c r="U104" i="8"/>
  <c r="T105" i="8"/>
  <c r="V105" i="8" s="1"/>
  <c r="Z105" i="8" s="1"/>
  <c r="AA105" i="8" s="1"/>
  <c r="AB105" i="8" s="1"/>
  <c r="R105" i="8"/>
  <c r="Q106" i="8"/>
  <c r="P106" i="8"/>
  <c r="X106" i="8"/>
  <c r="O107" i="8"/>
  <c r="AD107" i="8" s="1"/>
  <c r="AE107" i="8" s="1"/>
  <c r="AF107" i="8" s="1"/>
  <c r="O21" i="8"/>
  <c r="P21" i="8" s="1"/>
  <c r="Q20" i="8"/>
  <c r="R20" i="8" s="1"/>
  <c r="X20" i="8"/>
  <c r="T53" i="7"/>
  <c r="V53" i="7" s="1"/>
  <c r="Z53" i="7" s="1"/>
  <c r="AA53" i="7" s="1"/>
  <c r="AB53" i="7" s="1"/>
  <c r="AC53" i="7" s="1"/>
  <c r="R53" i="7"/>
  <c r="R54" i="7" s="1"/>
  <c r="U52" i="7"/>
  <c r="V54" i="7"/>
  <c r="Z54" i="7" s="1"/>
  <c r="AA54" i="7" s="1"/>
  <c r="AB54" i="7" s="1"/>
  <c r="AC54" i="7" s="1"/>
  <c r="P55" i="7"/>
  <c r="Q55" i="7"/>
  <c r="T55" i="7" s="1"/>
  <c r="X55" i="7"/>
  <c r="O56" i="7"/>
  <c r="T20" i="8" l="1"/>
  <c r="V20" i="8" s="1"/>
  <c r="Z20" i="8" s="1"/>
  <c r="AA20" i="8" s="1"/>
  <c r="AB20" i="8" s="1"/>
  <c r="AC20" i="8" s="1"/>
  <c r="AG105" i="8"/>
  <c r="AJ105" i="8"/>
  <c r="AK105" i="8" s="1"/>
  <c r="AL105" i="8" s="1"/>
  <c r="AM104" i="8"/>
  <c r="AN104" i="8"/>
  <c r="AO104" i="8"/>
  <c r="AC105" i="8"/>
  <c r="U19" i="8"/>
  <c r="Q107" i="8"/>
  <c r="P107" i="8"/>
  <c r="O108" i="8"/>
  <c r="AD108" i="8" s="1"/>
  <c r="AE108" i="8" s="1"/>
  <c r="AF108" i="8" s="1"/>
  <c r="X107" i="8"/>
  <c r="T106" i="8"/>
  <c r="V106" i="8" s="1"/>
  <c r="Z106" i="8" s="1"/>
  <c r="AA106" i="8" s="1"/>
  <c r="AB106" i="8" s="1"/>
  <c r="R106" i="8"/>
  <c r="U105" i="8"/>
  <c r="O22" i="8"/>
  <c r="P22" i="8" s="1"/>
  <c r="Q21" i="8"/>
  <c r="R21" i="8" s="1"/>
  <c r="X21" i="8"/>
  <c r="U20" i="8"/>
  <c r="U53" i="7"/>
  <c r="U54" i="7" s="1"/>
  <c r="V55" i="7"/>
  <c r="Z55" i="7" s="1"/>
  <c r="AA55" i="7" s="1"/>
  <c r="AB55" i="7" s="1"/>
  <c r="AC55" i="7" s="1"/>
  <c r="R55" i="7"/>
  <c r="P56" i="7"/>
  <c r="Q56" i="7"/>
  <c r="T56" i="7" s="1"/>
  <c r="X56" i="7"/>
  <c r="O57" i="7"/>
  <c r="AG106" i="8" l="1"/>
  <c r="AJ106" i="8"/>
  <c r="AK106" i="8" s="1"/>
  <c r="AL106" i="8" s="1"/>
  <c r="AN105" i="8"/>
  <c r="AO105" i="8"/>
  <c r="AM105" i="8"/>
  <c r="AC106" i="8"/>
  <c r="T21" i="8"/>
  <c r="V21" i="8" s="1"/>
  <c r="Z21" i="8" s="1"/>
  <c r="AA21" i="8" s="1"/>
  <c r="AB21" i="8" s="1"/>
  <c r="AC21" i="8" s="1"/>
  <c r="Q108" i="8"/>
  <c r="O109" i="8"/>
  <c r="AD109" i="8" s="1"/>
  <c r="AE109" i="8" s="1"/>
  <c r="AF109" i="8" s="1"/>
  <c r="X108" i="8"/>
  <c r="P108" i="8"/>
  <c r="U106" i="8"/>
  <c r="R107" i="8"/>
  <c r="T107" i="8"/>
  <c r="V107" i="8" s="1"/>
  <c r="Z107" i="8" s="1"/>
  <c r="AA107" i="8" s="1"/>
  <c r="AB107" i="8" s="1"/>
  <c r="O23" i="8"/>
  <c r="P23" i="8" s="1"/>
  <c r="Q22" i="8"/>
  <c r="T22" i="8" s="1"/>
  <c r="V22" i="8" s="1"/>
  <c r="X22" i="8"/>
  <c r="U21" i="8"/>
  <c r="V56" i="7"/>
  <c r="Z56" i="7" s="1"/>
  <c r="AA56" i="7" s="1"/>
  <c r="AB56" i="7" s="1"/>
  <c r="AC56" i="7" s="1"/>
  <c r="U55" i="7"/>
  <c r="P57" i="7"/>
  <c r="Q57" i="7"/>
  <c r="T57" i="7" s="1"/>
  <c r="R56" i="7"/>
  <c r="X57" i="7"/>
  <c r="O58" i="7"/>
  <c r="R22" i="8" l="1"/>
  <c r="AG107" i="8"/>
  <c r="AJ107" i="8"/>
  <c r="AK107" i="8" s="1"/>
  <c r="AL107" i="8" s="1"/>
  <c r="AC107" i="8"/>
  <c r="AM106" i="8"/>
  <c r="AN106" i="8"/>
  <c r="AO106" i="8"/>
  <c r="U107" i="8"/>
  <c r="T108" i="8"/>
  <c r="V108" i="8" s="1"/>
  <c r="Z108" i="8" s="1"/>
  <c r="AA108" i="8" s="1"/>
  <c r="AB108" i="8" s="1"/>
  <c r="R108" i="8"/>
  <c r="X109" i="8"/>
  <c r="O110" i="8"/>
  <c r="AD110" i="8" s="1"/>
  <c r="AE110" i="8" s="1"/>
  <c r="AF110" i="8" s="1"/>
  <c r="Q109" i="8"/>
  <c r="P109" i="8"/>
  <c r="O24" i="8"/>
  <c r="P24" i="8" s="1"/>
  <c r="Q23" i="8"/>
  <c r="T23" i="8" s="1"/>
  <c r="V23" i="8" s="1"/>
  <c r="X23" i="8"/>
  <c r="Z22" i="8"/>
  <c r="AA22" i="8" s="1"/>
  <c r="AB22" i="8" s="1"/>
  <c r="AC22" i="8" s="1"/>
  <c r="U22" i="8"/>
  <c r="U56" i="7"/>
  <c r="U57" i="7" s="1"/>
  <c r="V57" i="7"/>
  <c r="Z57" i="7" s="1"/>
  <c r="AA57" i="7" s="1"/>
  <c r="AB57" i="7" s="1"/>
  <c r="AC57" i="7" s="1"/>
  <c r="P58" i="7"/>
  <c r="Q58" i="7"/>
  <c r="T58" i="7" s="1"/>
  <c r="R57" i="7"/>
  <c r="O59" i="7"/>
  <c r="X58" i="7"/>
  <c r="AG108" i="8" l="1"/>
  <c r="AJ108" i="8"/>
  <c r="AK108" i="8" s="1"/>
  <c r="AN107" i="8"/>
  <c r="AO107" i="8"/>
  <c r="AM107" i="8"/>
  <c r="AC108" i="8"/>
  <c r="AL108" i="8"/>
  <c r="R23" i="8"/>
  <c r="U108" i="8"/>
  <c r="P110" i="8"/>
  <c r="Q110" i="8"/>
  <c r="X110" i="8"/>
  <c r="O111" i="8"/>
  <c r="AD111" i="8" s="1"/>
  <c r="AE111" i="8" s="1"/>
  <c r="AF111" i="8" s="1"/>
  <c r="T109" i="8"/>
  <c r="V109" i="8" s="1"/>
  <c r="Z109" i="8" s="1"/>
  <c r="AA109" i="8" s="1"/>
  <c r="AB109" i="8" s="1"/>
  <c r="R109" i="8"/>
  <c r="O25" i="8"/>
  <c r="P25" i="8" s="1"/>
  <c r="Q24" i="8"/>
  <c r="R24" i="8" s="1"/>
  <c r="X24" i="8"/>
  <c r="Z23" i="8"/>
  <c r="AA23" i="8" s="1"/>
  <c r="AB23" i="8" s="1"/>
  <c r="AC23" i="8" s="1"/>
  <c r="U23" i="8"/>
  <c r="T24" i="8"/>
  <c r="V24" i="8" s="1"/>
  <c r="R58" i="7"/>
  <c r="V58" i="7"/>
  <c r="Z58" i="7" s="1"/>
  <c r="AA58" i="7" s="1"/>
  <c r="AB58" i="7" s="1"/>
  <c r="AC58" i="7" s="1"/>
  <c r="P59" i="7"/>
  <c r="Q59" i="7"/>
  <c r="T59" i="7" s="1"/>
  <c r="O60" i="7"/>
  <c r="X59" i="7"/>
  <c r="AG109" i="8" l="1"/>
  <c r="AJ109" i="8"/>
  <c r="AK109" i="8" s="1"/>
  <c r="AL109" i="8" s="1"/>
  <c r="AN108" i="8"/>
  <c r="AO108" i="8"/>
  <c r="AM108" i="8"/>
  <c r="AC109" i="8"/>
  <c r="T110" i="8"/>
  <c r="V110" i="8" s="1"/>
  <c r="Z110" i="8" s="1"/>
  <c r="AA110" i="8" s="1"/>
  <c r="AB110" i="8" s="1"/>
  <c r="R110" i="8"/>
  <c r="O112" i="8"/>
  <c r="AD112" i="8" s="1"/>
  <c r="AE112" i="8" s="1"/>
  <c r="AF112" i="8" s="1"/>
  <c r="Q111" i="8"/>
  <c r="X111" i="8"/>
  <c r="P111" i="8"/>
  <c r="U109" i="8"/>
  <c r="U110" i="8" s="1"/>
  <c r="O26" i="8"/>
  <c r="P26" i="8" s="1"/>
  <c r="Q25" i="8"/>
  <c r="T25" i="8" s="1"/>
  <c r="V25" i="8" s="1"/>
  <c r="X25" i="8"/>
  <c r="Z24" i="8"/>
  <c r="AA24" i="8" s="1"/>
  <c r="AB24" i="8" s="1"/>
  <c r="AC24" i="8" s="1"/>
  <c r="U24" i="8"/>
  <c r="U58" i="7"/>
  <c r="V59" i="7"/>
  <c r="Z59" i="7" s="1"/>
  <c r="AA59" i="7" s="1"/>
  <c r="AB59" i="7" s="1"/>
  <c r="AC59" i="7" s="1"/>
  <c r="R59" i="7"/>
  <c r="P60" i="7"/>
  <c r="Q60" i="7"/>
  <c r="T60" i="7" s="1"/>
  <c r="X60" i="7"/>
  <c r="O61" i="7"/>
  <c r="AG110" i="8" l="1"/>
  <c r="AJ110" i="8"/>
  <c r="AK110" i="8" s="1"/>
  <c r="AL110" i="8" s="1"/>
  <c r="AN109" i="8"/>
  <c r="AM109" i="8"/>
  <c r="AO109" i="8"/>
  <c r="AC110" i="8"/>
  <c r="R25" i="8"/>
  <c r="X112" i="8"/>
  <c r="O113" i="8"/>
  <c r="AD113" i="8" s="1"/>
  <c r="AE113" i="8" s="1"/>
  <c r="AF113" i="8" s="1"/>
  <c r="Q112" i="8"/>
  <c r="P112" i="8"/>
  <c r="T111" i="8"/>
  <c r="V111" i="8" s="1"/>
  <c r="Z111" i="8" s="1"/>
  <c r="AA111" i="8" s="1"/>
  <c r="AB111" i="8" s="1"/>
  <c r="R111" i="8"/>
  <c r="O27" i="8"/>
  <c r="P27" i="8" s="1"/>
  <c r="Q26" i="8"/>
  <c r="R26" i="8" s="1"/>
  <c r="X26" i="8"/>
  <c r="Z25" i="8"/>
  <c r="AA25" i="8" s="1"/>
  <c r="AB25" i="8" s="1"/>
  <c r="AC25" i="8" s="1"/>
  <c r="U25" i="8"/>
  <c r="U59" i="7"/>
  <c r="V60" i="7"/>
  <c r="Z60" i="7" s="1"/>
  <c r="AA60" i="7" s="1"/>
  <c r="AB60" i="7" s="1"/>
  <c r="AC60" i="7" s="1"/>
  <c r="P61" i="7"/>
  <c r="Q61" i="7"/>
  <c r="T61" i="7" s="1"/>
  <c r="R60" i="7"/>
  <c r="X61" i="7"/>
  <c r="O62" i="7"/>
  <c r="AG111" i="8" l="1"/>
  <c r="AJ111" i="8"/>
  <c r="AK111" i="8" s="1"/>
  <c r="AM110" i="8"/>
  <c r="AN110" i="8"/>
  <c r="AO110" i="8"/>
  <c r="AC111" i="8"/>
  <c r="AL111" i="8"/>
  <c r="T26" i="8"/>
  <c r="V26" i="8" s="1"/>
  <c r="Z26" i="8" s="1"/>
  <c r="AA26" i="8" s="1"/>
  <c r="AB26" i="8" s="1"/>
  <c r="AC26" i="8" s="1"/>
  <c r="R112" i="8"/>
  <c r="T112" i="8"/>
  <c r="V112" i="8" s="1"/>
  <c r="Z112" i="8" s="1"/>
  <c r="AA112" i="8" s="1"/>
  <c r="AB112" i="8" s="1"/>
  <c r="P113" i="8"/>
  <c r="X113" i="8"/>
  <c r="O114" i="8"/>
  <c r="AD114" i="8" s="1"/>
  <c r="AE114" i="8" s="1"/>
  <c r="AF114" i="8" s="1"/>
  <c r="Q113" i="8"/>
  <c r="U111" i="8"/>
  <c r="O28" i="8"/>
  <c r="P28" i="8" s="1"/>
  <c r="Q27" i="8"/>
  <c r="R27" i="8" s="1"/>
  <c r="X27" i="8"/>
  <c r="U26" i="8"/>
  <c r="U60" i="7"/>
  <c r="V61" i="7"/>
  <c r="Z61" i="7" s="1"/>
  <c r="AA61" i="7" s="1"/>
  <c r="AB61" i="7" s="1"/>
  <c r="AC61" i="7" s="1"/>
  <c r="R61" i="7"/>
  <c r="P62" i="7"/>
  <c r="Q62" i="7"/>
  <c r="T62" i="7" s="1"/>
  <c r="O63" i="7"/>
  <c r="X62" i="7"/>
  <c r="AG112" i="8" l="1"/>
  <c r="AJ112" i="8"/>
  <c r="AK112" i="8" s="1"/>
  <c r="AN111" i="8"/>
  <c r="AO111" i="8"/>
  <c r="AM111" i="8"/>
  <c r="AC112" i="8"/>
  <c r="AL112" i="8"/>
  <c r="T27" i="8"/>
  <c r="V27" i="8" s="1"/>
  <c r="Z27" i="8" s="1"/>
  <c r="AA27" i="8" s="1"/>
  <c r="AB27" i="8" s="1"/>
  <c r="AC27" i="8" s="1"/>
  <c r="U112" i="8"/>
  <c r="T113" i="8"/>
  <c r="V113" i="8" s="1"/>
  <c r="Z113" i="8" s="1"/>
  <c r="AA113" i="8" s="1"/>
  <c r="AB113" i="8" s="1"/>
  <c r="R113" i="8"/>
  <c r="Q114" i="8"/>
  <c r="P114" i="8"/>
  <c r="X114" i="8"/>
  <c r="O115" i="8"/>
  <c r="AD115" i="8" s="1"/>
  <c r="AE115" i="8" s="1"/>
  <c r="AF115" i="8" s="1"/>
  <c r="O29" i="8"/>
  <c r="P29" i="8" s="1"/>
  <c r="Q28" i="8"/>
  <c r="T28" i="8" s="1"/>
  <c r="V28" i="8" s="1"/>
  <c r="X28" i="8"/>
  <c r="U27" i="8"/>
  <c r="V62" i="7"/>
  <c r="Z62" i="7" s="1"/>
  <c r="AA62" i="7" s="1"/>
  <c r="AB62" i="7" s="1"/>
  <c r="AC62" i="7" s="1"/>
  <c r="U61" i="7"/>
  <c r="R62" i="7"/>
  <c r="P63" i="7"/>
  <c r="Q63" i="7"/>
  <c r="T63" i="7" s="1"/>
  <c r="X63" i="7"/>
  <c r="O64" i="7"/>
  <c r="AG113" i="8" l="1"/>
  <c r="AJ113" i="8"/>
  <c r="AK113" i="8" s="1"/>
  <c r="AN112" i="8"/>
  <c r="AO112" i="8"/>
  <c r="AM112" i="8"/>
  <c r="AC113" i="8"/>
  <c r="AL113" i="8"/>
  <c r="R28" i="8"/>
  <c r="U113" i="8"/>
  <c r="Q115" i="8"/>
  <c r="P115" i="8"/>
  <c r="O116" i="8"/>
  <c r="AD116" i="8" s="1"/>
  <c r="AE116" i="8" s="1"/>
  <c r="AF116" i="8" s="1"/>
  <c r="X115" i="8"/>
  <c r="T114" i="8"/>
  <c r="V114" i="8" s="1"/>
  <c r="Z114" i="8" s="1"/>
  <c r="AA114" i="8" s="1"/>
  <c r="AB114" i="8" s="1"/>
  <c r="R114" i="8"/>
  <c r="O30" i="8"/>
  <c r="P30" i="8" s="1"/>
  <c r="Q29" i="8"/>
  <c r="R29" i="8" s="1"/>
  <c r="X29" i="8"/>
  <c r="Z28" i="8"/>
  <c r="AA28" i="8" s="1"/>
  <c r="AB28" i="8" s="1"/>
  <c r="AC28" i="8" s="1"/>
  <c r="U28" i="8"/>
  <c r="U62" i="7"/>
  <c r="V63" i="7"/>
  <c r="Z63" i="7" s="1"/>
  <c r="AA63" i="7" s="1"/>
  <c r="AB63" i="7" s="1"/>
  <c r="AC63" i="7" s="1"/>
  <c r="P64" i="7"/>
  <c r="Q64" i="7"/>
  <c r="T64" i="7" s="1"/>
  <c r="R63" i="7"/>
  <c r="X64" i="7"/>
  <c r="O65" i="7"/>
  <c r="AG114" i="8" l="1"/>
  <c r="AJ114" i="8"/>
  <c r="AK114" i="8" s="1"/>
  <c r="AL114" i="8" s="1"/>
  <c r="AC114" i="8"/>
  <c r="AN113" i="8"/>
  <c r="AO113" i="8"/>
  <c r="AM113" i="8"/>
  <c r="T29" i="8"/>
  <c r="V29" i="8" s="1"/>
  <c r="Z29" i="8" s="1"/>
  <c r="AA29" i="8" s="1"/>
  <c r="AB29" i="8" s="1"/>
  <c r="AC29" i="8" s="1"/>
  <c r="Q116" i="8"/>
  <c r="O117" i="8"/>
  <c r="AD117" i="8" s="1"/>
  <c r="AE117" i="8" s="1"/>
  <c r="AF117" i="8" s="1"/>
  <c r="X116" i="8"/>
  <c r="P116" i="8"/>
  <c r="R115" i="8"/>
  <c r="T115" i="8"/>
  <c r="V115" i="8" s="1"/>
  <c r="Z115" i="8" s="1"/>
  <c r="AA115" i="8" s="1"/>
  <c r="AB115" i="8" s="1"/>
  <c r="U114" i="8"/>
  <c r="O31" i="8"/>
  <c r="P31" i="8" s="1"/>
  <c r="Q30" i="8"/>
  <c r="T30" i="8" s="1"/>
  <c r="V30" i="8" s="1"/>
  <c r="X30" i="8"/>
  <c r="U63" i="7"/>
  <c r="V64" i="7"/>
  <c r="Z64" i="7" s="1"/>
  <c r="AA64" i="7" s="1"/>
  <c r="AB64" i="7" s="1"/>
  <c r="AC64" i="7" s="1"/>
  <c r="R64" i="7"/>
  <c r="P65" i="7"/>
  <c r="Q65" i="7"/>
  <c r="T65" i="7" s="1"/>
  <c r="O66" i="7"/>
  <c r="X65" i="7"/>
  <c r="AG115" i="8" l="1"/>
  <c r="AJ115" i="8"/>
  <c r="AK115" i="8" s="1"/>
  <c r="AL115" i="8" s="1"/>
  <c r="AM114" i="8"/>
  <c r="AO114" i="8"/>
  <c r="AN114" i="8"/>
  <c r="AC115" i="8"/>
  <c r="R30" i="8"/>
  <c r="U29" i="8"/>
  <c r="U115" i="8"/>
  <c r="T116" i="8"/>
  <c r="V116" i="8" s="1"/>
  <c r="Z116" i="8" s="1"/>
  <c r="AA116" i="8" s="1"/>
  <c r="AB116" i="8" s="1"/>
  <c r="R116" i="8"/>
  <c r="X117" i="8"/>
  <c r="O118" i="8"/>
  <c r="AD118" i="8" s="1"/>
  <c r="AE118" i="8" s="1"/>
  <c r="AF118" i="8" s="1"/>
  <c r="P117" i="8"/>
  <c r="Q117" i="8"/>
  <c r="O32" i="8"/>
  <c r="P32" i="8" s="1"/>
  <c r="Q31" i="8"/>
  <c r="T31" i="8" s="1"/>
  <c r="V31" i="8" s="1"/>
  <c r="X31" i="8"/>
  <c r="Z30" i="8"/>
  <c r="AA30" i="8" s="1"/>
  <c r="AB30" i="8" s="1"/>
  <c r="AC30" i="8" s="1"/>
  <c r="U30" i="8"/>
  <c r="U64" i="7"/>
  <c r="V65" i="7"/>
  <c r="Z65" i="7" s="1"/>
  <c r="AA65" i="7" s="1"/>
  <c r="AB65" i="7" s="1"/>
  <c r="AC65" i="7" s="1"/>
  <c r="R65" i="7"/>
  <c r="P66" i="7"/>
  <c r="Q66" i="7"/>
  <c r="T66" i="7" s="1"/>
  <c r="O67" i="7"/>
  <c r="X66" i="7"/>
  <c r="AG116" i="8" l="1"/>
  <c r="AJ116" i="8"/>
  <c r="AK116" i="8" s="1"/>
  <c r="AL116" i="8" s="1"/>
  <c r="AC116" i="8"/>
  <c r="AN115" i="8"/>
  <c r="AO115" i="8"/>
  <c r="AM115" i="8"/>
  <c r="R31" i="8"/>
  <c r="P118" i="8"/>
  <c r="O119" i="8"/>
  <c r="AD119" i="8" s="1"/>
  <c r="AE119" i="8" s="1"/>
  <c r="AF119" i="8" s="1"/>
  <c r="Q118" i="8"/>
  <c r="X118" i="8"/>
  <c r="T117" i="8"/>
  <c r="V117" i="8" s="1"/>
  <c r="Z117" i="8" s="1"/>
  <c r="AA117" i="8" s="1"/>
  <c r="AB117" i="8" s="1"/>
  <c r="R117" i="8"/>
  <c r="U116" i="8"/>
  <c r="O33" i="8"/>
  <c r="P33" i="8" s="1"/>
  <c r="Q32" i="8"/>
  <c r="X32" i="8"/>
  <c r="Z31" i="8"/>
  <c r="AA31" i="8" s="1"/>
  <c r="AB31" i="8" s="1"/>
  <c r="AC31" i="8" s="1"/>
  <c r="U31" i="8"/>
  <c r="T32" i="8"/>
  <c r="V32" i="8" s="1"/>
  <c r="U65" i="7"/>
  <c r="V66" i="7"/>
  <c r="Z66" i="7" s="1"/>
  <c r="AA66" i="7" s="1"/>
  <c r="AB66" i="7" s="1"/>
  <c r="AC66" i="7" s="1"/>
  <c r="R66" i="7"/>
  <c r="P67" i="7"/>
  <c r="Q67" i="7"/>
  <c r="T67" i="7" s="1"/>
  <c r="O68" i="7"/>
  <c r="X67" i="7"/>
  <c r="AG117" i="8" l="1"/>
  <c r="AJ117" i="8"/>
  <c r="AK117" i="8" s="1"/>
  <c r="R32" i="8"/>
  <c r="AM116" i="8"/>
  <c r="AN116" i="8"/>
  <c r="AO116" i="8"/>
  <c r="AC117" i="8"/>
  <c r="AL117" i="8"/>
  <c r="U117" i="8"/>
  <c r="O120" i="8"/>
  <c r="AD120" i="8" s="1"/>
  <c r="AE120" i="8" s="1"/>
  <c r="AF120" i="8" s="1"/>
  <c r="Q119" i="8"/>
  <c r="P119" i="8"/>
  <c r="X119" i="8"/>
  <c r="T118" i="8"/>
  <c r="V118" i="8" s="1"/>
  <c r="Z118" i="8" s="1"/>
  <c r="AA118" i="8" s="1"/>
  <c r="AB118" i="8" s="1"/>
  <c r="R118" i="8"/>
  <c r="O34" i="8"/>
  <c r="Q33" i="8"/>
  <c r="T33" i="8" s="1"/>
  <c r="V33" i="8" s="1"/>
  <c r="X33" i="8"/>
  <c r="Z32" i="8"/>
  <c r="AA32" i="8" s="1"/>
  <c r="AB32" i="8" s="1"/>
  <c r="AC32" i="8" s="1"/>
  <c r="U32" i="8"/>
  <c r="U66" i="7"/>
  <c r="V67" i="7"/>
  <c r="Z67" i="7" s="1"/>
  <c r="AA67" i="7" s="1"/>
  <c r="AB67" i="7" s="1"/>
  <c r="AC67" i="7" s="1"/>
  <c r="R67" i="7"/>
  <c r="P68" i="7"/>
  <c r="Q68" i="7"/>
  <c r="T68" i="7" s="1"/>
  <c r="O69" i="7"/>
  <c r="X68" i="7"/>
  <c r="AG118" i="8" l="1"/>
  <c r="AJ118" i="8"/>
  <c r="AK118" i="8" s="1"/>
  <c r="AN117" i="8"/>
  <c r="AM117" i="8"/>
  <c r="AO117" i="8"/>
  <c r="AC118" i="8"/>
  <c r="AL118" i="8"/>
  <c r="R33" i="8"/>
  <c r="X120" i="8"/>
  <c r="O121" i="8"/>
  <c r="AD121" i="8" s="1"/>
  <c r="AE121" i="8" s="1"/>
  <c r="AF121" i="8" s="1"/>
  <c r="Q120" i="8"/>
  <c r="P120" i="8"/>
  <c r="U118" i="8"/>
  <c r="T119" i="8"/>
  <c r="V119" i="8" s="1"/>
  <c r="Z119" i="8" s="1"/>
  <c r="AA119" i="8" s="1"/>
  <c r="AB119" i="8" s="1"/>
  <c r="R119" i="8"/>
  <c r="O35" i="8"/>
  <c r="X35" i="8" s="1"/>
  <c r="Q34" i="8"/>
  <c r="P34" i="8"/>
  <c r="X34" i="8"/>
  <c r="Z33" i="8"/>
  <c r="AA33" i="8" s="1"/>
  <c r="AB33" i="8" s="1"/>
  <c r="AC33" i="8" s="1"/>
  <c r="T34" i="8"/>
  <c r="V34" i="8" s="1"/>
  <c r="U33" i="8"/>
  <c r="U67" i="7"/>
  <c r="V68" i="7"/>
  <c r="Z68" i="7" s="1"/>
  <c r="AA68" i="7" s="1"/>
  <c r="AB68" i="7" s="1"/>
  <c r="AC68" i="7" s="1"/>
  <c r="P69" i="7"/>
  <c r="Q69" i="7"/>
  <c r="T69" i="7" s="1"/>
  <c r="R68" i="7"/>
  <c r="X69" i="7"/>
  <c r="O70" i="7"/>
  <c r="AG119" i="8" l="1"/>
  <c r="AJ119" i="8"/>
  <c r="AK119" i="8" s="1"/>
  <c r="AL119" i="8" s="1"/>
  <c r="AC119" i="8"/>
  <c r="AM118" i="8"/>
  <c r="AN118" i="8"/>
  <c r="AO118" i="8"/>
  <c r="P35" i="8"/>
  <c r="R34" i="8"/>
  <c r="P121" i="8"/>
  <c r="X121" i="8"/>
  <c r="O122" i="8"/>
  <c r="AD122" i="8" s="1"/>
  <c r="AE122" i="8" s="1"/>
  <c r="AF122" i="8" s="1"/>
  <c r="Q121" i="8"/>
  <c r="U119" i="8"/>
  <c r="R120" i="8"/>
  <c r="T120" i="8"/>
  <c r="V120" i="8" s="1"/>
  <c r="Z120" i="8" s="1"/>
  <c r="AA120" i="8" s="1"/>
  <c r="AB120" i="8" s="1"/>
  <c r="O36" i="8"/>
  <c r="P36" i="8" s="1"/>
  <c r="Q35" i="8"/>
  <c r="T35" i="8" s="1"/>
  <c r="V35" i="8" s="1"/>
  <c r="Z35" i="8" s="1"/>
  <c r="AA35" i="8" s="1"/>
  <c r="U34" i="8"/>
  <c r="Z34" i="8"/>
  <c r="AA34" i="8" s="1"/>
  <c r="AB34" i="8" s="1"/>
  <c r="AC34" i="8" s="1"/>
  <c r="U68" i="7"/>
  <c r="V69" i="7"/>
  <c r="Z69" i="7" s="1"/>
  <c r="AA69" i="7" s="1"/>
  <c r="AB69" i="7" s="1"/>
  <c r="AC69" i="7" s="1"/>
  <c r="R69" i="7"/>
  <c r="P70" i="7"/>
  <c r="Q70" i="7"/>
  <c r="T70" i="7" s="1"/>
  <c r="X70" i="7"/>
  <c r="O71" i="7"/>
  <c r="AG120" i="8" l="1"/>
  <c r="AJ120" i="8"/>
  <c r="AK120" i="8" s="1"/>
  <c r="AN119" i="8"/>
  <c r="AM119" i="8"/>
  <c r="AO119" i="8"/>
  <c r="AC120" i="8"/>
  <c r="AL120" i="8"/>
  <c r="R35" i="8"/>
  <c r="X36" i="8"/>
  <c r="T121" i="8"/>
  <c r="V121" i="8" s="1"/>
  <c r="Z121" i="8" s="1"/>
  <c r="AA121" i="8" s="1"/>
  <c r="AB121" i="8" s="1"/>
  <c r="R121" i="8"/>
  <c r="U120" i="8"/>
  <c r="Q122" i="8"/>
  <c r="P122" i="8"/>
  <c r="X122" i="8"/>
  <c r="O123" i="8"/>
  <c r="AD123" i="8" s="1"/>
  <c r="AE123" i="8" s="1"/>
  <c r="AF123" i="8" s="1"/>
  <c r="O37" i="8"/>
  <c r="Q36" i="8"/>
  <c r="T36" i="8" s="1"/>
  <c r="V36" i="8" s="1"/>
  <c r="Z36" i="8" s="1"/>
  <c r="U35" i="8"/>
  <c r="AB35" i="8"/>
  <c r="AC35" i="8" s="1"/>
  <c r="U69" i="7"/>
  <c r="V70" i="7"/>
  <c r="Z70" i="7" s="1"/>
  <c r="AA70" i="7" s="1"/>
  <c r="AB70" i="7" s="1"/>
  <c r="AC70" i="7" s="1"/>
  <c r="R70" i="7"/>
  <c r="P71" i="7"/>
  <c r="Q71" i="7"/>
  <c r="T71" i="7" s="1"/>
  <c r="O72" i="7"/>
  <c r="X71" i="7"/>
  <c r="AG121" i="8" l="1"/>
  <c r="AJ121" i="8"/>
  <c r="AK121" i="8" s="1"/>
  <c r="AA36" i="8"/>
  <c r="AB36" i="8" s="1"/>
  <c r="AC36" i="8" s="1"/>
  <c r="AN120" i="8"/>
  <c r="AO120" i="8"/>
  <c r="AM120" i="8"/>
  <c r="AC121" i="8"/>
  <c r="AL121" i="8"/>
  <c r="R36" i="8"/>
  <c r="U121" i="8"/>
  <c r="R122" i="8"/>
  <c r="T122" i="8"/>
  <c r="V122" i="8" s="1"/>
  <c r="Z122" i="8" s="1"/>
  <c r="AA122" i="8" s="1"/>
  <c r="AB122" i="8" s="1"/>
  <c r="Q123" i="8"/>
  <c r="P123" i="8"/>
  <c r="X123" i="8"/>
  <c r="O124" i="8"/>
  <c r="AD124" i="8" s="1"/>
  <c r="AE124" i="8" s="1"/>
  <c r="AF124" i="8" s="1"/>
  <c r="O38" i="8"/>
  <c r="Q37" i="8"/>
  <c r="T37" i="8" s="1"/>
  <c r="V37" i="8" s="1"/>
  <c r="Z37" i="8" s="1"/>
  <c r="X37" i="8"/>
  <c r="P37" i="8"/>
  <c r="U36" i="8"/>
  <c r="U70" i="7"/>
  <c r="V71" i="7"/>
  <c r="Z71" i="7" s="1"/>
  <c r="AA71" i="7" s="1"/>
  <c r="AB71" i="7" s="1"/>
  <c r="AC71" i="7" s="1"/>
  <c r="R71" i="7"/>
  <c r="P72" i="7"/>
  <c r="Q72" i="7"/>
  <c r="T72" i="7" s="1"/>
  <c r="X72" i="7"/>
  <c r="O73" i="7"/>
  <c r="AG122" i="8" l="1"/>
  <c r="AJ122" i="8"/>
  <c r="AK122" i="8" s="1"/>
  <c r="AA37" i="8"/>
  <c r="AB37" i="8" s="1"/>
  <c r="AC37" i="8" s="1"/>
  <c r="AC122" i="8"/>
  <c r="AL122" i="8"/>
  <c r="AN121" i="8"/>
  <c r="AO121" i="8"/>
  <c r="AM121" i="8"/>
  <c r="U37" i="8"/>
  <c r="U122" i="8"/>
  <c r="R37" i="8"/>
  <c r="Q124" i="8"/>
  <c r="P124" i="8"/>
  <c r="O125" i="8"/>
  <c r="AD125" i="8" s="1"/>
  <c r="AE125" i="8" s="1"/>
  <c r="AF125" i="8" s="1"/>
  <c r="X124" i="8"/>
  <c r="R123" i="8"/>
  <c r="T123" i="8"/>
  <c r="V123" i="8" s="1"/>
  <c r="Z123" i="8" s="1"/>
  <c r="AA123" i="8" s="1"/>
  <c r="AB123" i="8" s="1"/>
  <c r="O39" i="8"/>
  <c r="Q38" i="8"/>
  <c r="X38" i="8"/>
  <c r="P38" i="8"/>
  <c r="U71" i="7"/>
  <c r="V72" i="7"/>
  <c r="Z72" i="7" s="1"/>
  <c r="AA72" i="7" s="1"/>
  <c r="AB72" i="7" s="1"/>
  <c r="AC72" i="7" s="1"/>
  <c r="P73" i="7"/>
  <c r="Q73" i="7"/>
  <c r="T73" i="7" s="1"/>
  <c r="R72" i="7"/>
  <c r="X73" i="7"/>
  <c r="O74" i="7"/>
  <c r="AG123" i="8" l="1"/>
  <c r="AJ123" i="8"/>
  <c r="AK123" i="8" s="1"/>
  <c r="AM122" i="8"/>
  <c r="AN122" i="8"/>
  <c r="AO122" i="8"/>
  <c r="AC123" i="8"/>
  <c r="AL123" i="8"/>
  <c r="Q125" i="8"/>
  <c r="X125" i="8"/>
  <c r="P125" i="8"/>
  <c r="O126" i="8"/>
  <c r="AD126" i="8" s="1"/>
  <c r="AE126" i="8" s="1"/>
  <c r="AF126" i="8" s="1"/>
  <c r="T124" i="8"/>
  <c r="V124" i="8" s="1"/>
  <c r="Z124" i="8" s="1"/>
  <c r="AA124" i="8" s="1"/>
  <c r="AB124" i="8" s="1"/>
  <c r="R124" i="8"/>
  <c r="U123" i="8"/>
  <c r="T38" i="8"/>
  <c r="R38" i="8"/>
  <c r="O40" i="8"/>
  <c r="Q39" i="8"/>
  <c r="X39" i="8"/>
  <c r="P39" i="8"/>
  <c r="R73" i="7"/>
  <c r="U72" i="7"/>
  <c r="P74" i="7"/>
  <c r="Q74" i="7"/>
  <c r="T74" i="7" s="1"/>
  <c r="X74" i="7"/>
  <c r="O75" i="7"/>
  <c r="AG124" i="8" l="1"/>
  <c r="AJ124" i="8"/>
  <c r="AK124" i="8" s="1"/>
  <c r="AL124" i="8" s="1"/>
  <c r="AC124" i="8"/>
  <c r="AN123" i="8"/>
  <c r="AO123" i="8"/>
  <c r="AM123" i="8"/>
  <c r="U124" i="8"/>
  <c r="P126" i="8"/>
  <c r="X126" i="8"/>
  <c r="Q126" i="8"/>
  <c r="O127" i="8"/>
  <c r="AD127" i="8" s="1"/>
  <c r="AE127" i="8" s="1"/>
  <c r="AF127" i="8" s="1"/>
  <c r="T125" i="8"/>
  <c r="V125" i="8" s="1"/>
  <c r="Z125" i="8" s="1"/>
  <c r="AA125" i="8" s="1"/>
  <c r="AB125" i="8" s="1"/>
  <c r="AG125" i="8" s="1"/>
  <c r="R125" i="8"/>
  <c r="O41" i="8"/>
  <c r="Q40" i="8"/>
  <c r="X40" i="8"/>
  <c r="P40" i="8"/>
  <c r="R39" i="8"/>
  <c r="T39" i="8"/>
  <c r="V39" i="8" s="1"/>
  <c r="Z39" i="8" s="1"/>
  <c r="AA39" i="8" s="1"/>
  <c r="V38" i="8"/>
  <c r="Z38" i="8" s="1"/>
  <c r="AA38" i="8" s="1"/>
  <c r="AB38" i="8" s="1"/>
  <c r="AC38" i="8" s="1"/>
  <c r="U38" i="8"/>
  <c r="U73" i="7"/>
  <c r="V74" i="7"/>
  <c r="Z74" i="7" s="1"/>
  <c r="AA74" i="7" s="1"/>
  <c r="AB74" i="7" s="1"/>
  <c r="AC74" i="7" s="1"/>
  <c r="V73" i="7"/>
  <c r="Z73" i="7" s="1"/>
  <c r="AA73" i="7" s="1"/>
  <c r="AB73" i="7" s="1"/>
  <c r="AC73" i="7" s="1"/>
  <c r="R74" i="7"/>
  <c r="P75" i="7"/>
  <c r="Q75" i="7"/>
  <c r="T75" i="7" s="1"/>
  <c r="X75" i="7"/>
  <c r="O76" i="7"/>
  <c r="AM124" i="8" l="1"/>
  <c r="AO124" i="8"/>
  <c r="AN124" i="8"/>
  <c r="AC125" i="8"/>
  <c r="AL125" i="8"/>
  <c r="AB39" i="8"/>
  <c r="AC39" i="8" s="1"/>
  <c r="O128" i="8"/>
  <c r="AD128" i="8" s="1"/>
  <c r="AE128" i="8" s="1"/>
  <c r="AF128" i="8" s="1"/>
  <c r="Q127" i="8"/>
  <c r="X127" i="8"/>
  <c r="P127" i="8"/>
  <c r="T126" i="8"/>
  <c r="V126" i="8" s="1"/>
  <c r="Z126" i="8" s="1"/>
  <c r="AA126" i="8" s="1"/>
  <c r="AB126" i="8" s="1"/>
  <c r="R126" i="8"/>
  <c r="U125" i="8"/>
  <c r="T40" i="8"/>
  <c r="V40" i="8" s="1"/>
  <c r="Z40" i="8" s="1"/>
  <c r="AA40" i="8" s="1"/>
  <c r="AB40" i="8" s="1"/>
  <c r="AC40" i="8" s="1"/>
  <c r="R40" i="8"/>
  <c r="U39" i="8"/>
  <c r="O42" i="8"/>
  <c r="Q41" i="8"/>
  <c r="X41" i="8"/>
  <c r="P41" i="8"/>
  <c r="U74" i="7"/>
  <c r="V75" i="7"/>
  <c r="Z75" i="7" s="1"/>
  <c r="AA75" i="7" s="1"/>
  <c r="AB75" i="7" s="1"/>
  <c r="AC75" i="7" s="1"/>
  <c r="R75" i="7"/>
  <c r="P76" i="7"/>
  <c r="Q76" i="7"/>
  <c r="T76" i="7" s="1"/>
  <c r="O77" i="7"/>
  <c r="X76" i="7"/>
  <c r="AG126" i="8" l="1"/>
  <c r="AJ126" i="8"/>
  <c r="AK126" i="8" s="1"/>
  <c r="AN125" i="8"/>
  <c r="AM125" i="8"/>
  <c r="AO125" i="8"/>
  <c r="AC126" i="8"/>
  <c r="AL126" i="8"/>
  <c r="U126" i="8"/>
  <c r="T127" i="8"/>
  <c r="V127" i="8" s="1"/>
  <c r="Z127" i="8" s="1"/>
  <c r="AA127" i="8" s="1"/>
  <c r="AB127" i="8" s="1"/>
  <c r="R127" i="8"/>
  <c r="X128" i="8"/>
  <c r="O129" i="8"/>
  <c r="AD129" i="8" s="1"/>
  <c r="AE129" i="8" s="1"/>
  <c r="AF129" i="8" s="1"/>
  <c r="Q128" i="8"/>
  <c r="P128" i="8"/>
  <c r="U40" i="8"/>
  <c r="T41" i="8"/>
  <c r="R41" i="8"/>
  <c r="O43" i="8"/>
  <c r="Q42" i="8"/>
  <c r="X42" i="8"/>
  <c r="P42" i="8"/>
  <c r="V76" i="7"/>
  <c r="Z76" i="7" s="1"/>
  <c r="AA76" i="7" s="1"/>
  <c r="AB76" i="7" s="1"/>
  <c r="AC76" i="7" s="1"/>
  <c r="U75" i="7"/>
  <c r="R76" i="7"/>
  <c r="P77" i="7"/>
  <c r="Q77" i="7"/>
  <c r="T77" i="7" s="1"/>
  <c r="O78" i="7"/>
  <c r="X77" i="7"/>
  <c r="AG127" i="8" l="1"/>
  <c r="AJ127" i="8"/>
  <c r="AK127" i="8" s="1"/>
  <c r="AM126" i="8"/>
  <c r="AO126" i="8"/>
  <c r="AN126" i="8"/>
  <c r="AC127" i="8"/>
  <c r="AL127" i="8"/>
  <c r="R128" i="8"/>
  <c r="T128" i="8"/>
  <c r="V128" i="8" s="1"/>
  <c r="Z128" i="8" s="1"/>
  <c r="AA128" i="8" s="1"/>
  <c r="AB128" i="8" s="1"/>
  <c r="P129" i="8"/>
  <c r="X129" i="8"/>
  <c r="O130" i="8"/>
  <c r="AD130" i="8" s="1"/>
  <c r="AE130" i="8" s="1"/>
  <c r="AF130" i="8" s="1"/>
  <c r="Q129" i="8"/>
  <c r="U127" i="8"/>
  <c r="O44" i="8"/>
  <c r="Q43" i="8"/>
  <c r="X43" i="8"/>
  <c r="P43" i="8"/>
  <c r="R42" i="8"/>
  <c r="T42" i="8"/>
  <c r="V42" i="8" s="1"/>
  <c r="Z42" i="8" s="1"/>
  <c r="AA42" i="8" s="1"/>
  <c r="AB42" i="8" s="1"/>
  <c r="AC42" i="8" s="1"/>
  <c r="V41" i="8"/>
  <c r="Z41" i="8" s="1"/>
  <c r="AA41" i="8" s="1"/>
  <c r="AB41" i="8" s="1"/>
  <c r="AC41" i="8" s="1"/>
  <c r="U41" i="8"/>
  <c r="V77" i="7"/>
  <c r="Z77" i="7" s="1"/>
  <c r="AA77" i="7" s="1"/>
  <c r="AB77" i="7" s="1"/>
  <c r="AC77" i="7" s="1"/>
  <c r="U76" i="7"/>
  <c r="P78" i="7"/>
  <c r="Q78" i="7"/>
  <c r="T78" i="7" s="1"/>
  <c r="R77" i="7"/>
  <c r="X78" i="7"/>
  <c r="O79" i="7"/>
  <c r="AG128" i="8" l="1"/>
  <c r="AJ128" i="8"/>
  <c r="AK128" i="8" s="1"/>
  <c r="AN127" i="8"/>
  <c r="AO127" i="8"/>
  <c r="AM127" i="8"/>
  <c r="AC128" i="8"/>
  <c r="AL128" i="8"/>
  <c r="U128" i="8"/>
  <c r="T129" i="8"/>
  <c r="V129" i="8" s="1"/>
  <c r="Z129" i="8" s="1"/>
  <c r="AA129" i="8" s="1"/>
  <c r="AB129" i="8" s="1"/>
  <c r="R129" i="8"/>
  <c r="Q130" i="8"/>
  <c r="P130" i="8"/>
  <c r="X130" i="8"/>
  <c r="O131" i="8"/>
  <c r="AD131" i="8" s="1"/>
  <c r="AE131" i="8" s="1"/>
  <c r="AF131" i="8" s="1"/>
  <c r="R43" i="8"/>
  <c r="T43" i="8"/>
  <c r="V43" i="8" s="1"/>
  <c r="Z43" i="8" s="1"/>
  <c r="AA43" i="8" s="1"/>
  <c r="AB43" i="8" s="1"/>
  <c r="AC43" i="8" s="1"/>
  <c r="U42" i="8"/>
  <c r="O45" i="8"/>
  <c r="Q44" i="8"/>
  <c r="X44" i="8"/>
  <c r="P44" i="8"/>
  <c r="U77" i="7"/>
  <c r="V78" i="7"/>
  <c r="Z78" i="7" s="1"/>
  <c r="AA78" i="7" s="1"/>
  <c r="AB78" i="7" s="1"/>
  <c r="AC78" i="7" s="1"/>
  <c r="R78" i="7"/>
  <c r="P79" i="7"/>
  <c r="Q79" i="7"/>
  <c r="T79" i="7" s="1"/>
  <c r="O80" i="7"/>
  <c r="X79" i="7"/>
  <c r="AG129" i="8" l="1"/>
  <c r="AJ129" i="8"/>
  <c r="AK129" i="8" s="1"/>
  <c r="AN128" i="8"/>
  <c r="AO128" i="8"/>
  <c r="AM128" i="8"/>
  <c r="AC129" i="8"/>
  <c r="AL129" i="8"/>
  <c r="U129" i="8"/>
  <c r="Q131" i="8"/>
  <c r="P131" i="8"/>
  <c r="O132" i="8"/>
  <c r="AD132" i="8" s="1"/>
  <c r="AE132" i="8" s="1"/>
  <c r="AF132" i="8" s="1"/>
  <c r="X131" i="8"/>
  <c r="T130" i="8"/>
  <c r="V130" i="8" s="1"/>
  <c r="Z130" i="8" s="1"/>
  <c r="AA130" i="8" s="1"/>
  <c r="AB130" i="8" s="1"/>
  <c r="R130" i="8"/>
  <c r="R44" i="8"/>
  <c r="T44" i="8"/>
  <c r="V44" i="8" s="1"/>
  <c r="Z44" i="8" s="1"/>
  <c r="AA44" i="8" s="1"/>
  <c r="AB44" i="8" s="1"/>
  <c r="AC44" i="8" s="1"/>
  <c r="O46" i="8"/>
  <c r="Q45" i="8"/>
  <c r="X45" i="8"/>
  <c r="P45" i="8"/>
  <c r="U43" i="8"/>
  <c r="U78" i="7"/>
  <c r="V79" i="7"/>
  <c r="Z79" i="7" s="1"/>
  <c r="AA79" i="7" s="1"/>
  <c r="AB79" i="7" s="1"/>
  <c r="AC79" i="7" s="1"/>
  <c r="P80" i="7"/>
  <c r="Q80" i="7"/>
  <c r="T80" i="7" s="1"/>
  <c r="R79" i="7"/>
  <c r="O81" i="7"/>
  <c r="X80" i="7"/>
  <c r="AG130" i="8" l="1"/>
  <c r="AJ130" i="8"/>
  <c r="AK130" i="8" s="1"/>
  <c r="AN129" i="8"/>
  <c r="AO129" i="8"/>
  <c r="AM129" i="8"/>
  <c r="AC130" i="8"/>
  <c r="AL130" i="8"/>
  <c r="T131" i="8"/>
  <c r="V131" i="8" s="1"/>
  <c r="Z131" i="8" s="1"/>
  <c r="AA131" i="8" s="1"/>
  <c r="AB131" i="8" s="1"/>
  <c r="AG131" i="8" s="1"/>
  <c r="R131" i="8"/>
  <c r="U130" i="8"/>
  <c r="Q132" i="8"/>
  <c r="X132" i="8"/>
  <c r="O133" i="8"/>
  <c r="AD133" i="8" s="1"/>
  <c r="AE133" i="8" s="1"/>
  <c r="AF133" i="8" s="1"/>
  <c r="P132" i="8"/>
  <c r="U44" i="8"/>
  <c r="R45" i="8"/>
  <c r="T45" i="8"/>
  <c r="V45" i="8" s="1"/>
  <c r="Z45" i="8" s="1"/>
  <c r="AA45" i="8" s="1"/>
  <c r="AB45" i="8" s="1"/>
  <c r="AC45" i="8" s="1"/>
  <c r="O47" i="8"/>
  <c r="Q46" i="8"/>
  <c r="X46" i="8"/>
  <c r="P46" i="8"/>
  <c r="U79" i="7"/>
  <c r="V80" i="7"/>
  <c r="Z80" i="7" s="1"/>
  <c r="AA80" i="7" s="1"/>
  <c r="AB80" i="7" s="1"/>
  <c r="AC80" i="7" s="1"/>
  <c r="R80" i="7"/>
  <c r="P81" i="7"/>
  <c r="Q81" i="7"/>
  <c r="T81" i="7" s="1"/>
  <c r="O82" i="7"/>
  <c r="X81" i="7"/>
  <c r="AC131" i="8" l="1"/>
  <c r="AL131" i="8"/>
  <c r="AM130" i="8"/>
  <c r="AO130" i="8"/>
  <c r="AN130" i="8"/>
  <c r="U131" i="8"/>
  <c r="P133" i="8"/>
  <c r="X133" i="8"/>
  <c r="Q133" i="8"/>
  <c r="O134" i="8"/>
  <c r="AD134" i="8" s="1"/>
  <c r="AE134" i="8" s="1"/>
  <c r="AF134" i="8" s="1"/>
  <c r="T132" i="8"/>
  <c r="V132" i="8" s="1"/>
  <c r="Z132" i="8" s="1"/>
  <c r="AA132" i="8" s="1"/>
  <c r="AB132" i="8" s="1"/>
  <c r="R132" i="8"/>
  <c r="T46" i="8"/>
  <c r="V46" i="8" s="1"/>
  <c r="Z46" i="8" s="1"/>
  <c r="AA46" i="8" s="1"/>
  <c r="AB46" i="8" s="1"/>
  <c r="AC46" i="8" s="1"/>
  <c r="R46" i="8"/>
  <c r="O48" i="8"/>
  <c r="Q47" i="8"/>
  <c r="X47" i="8"/>
  <c r="P47" i="8"/>
  <c r="U45" i="8"/>
  <c r="U80" i="7"/>
  <c r="V81" i="7"/>
  <c r="Z81" i="7" s="1"/>
  <c r="AA81" i="7" s="1"/>
  <c r="AB81" i="7" s="1"/>
  <c r="AC81" i="7" s="1"/>
  <c r="R81" i="7"/>
  <c r="P82" i="7"/>
  <c r="Q82" i="7"/>
  <c r="T82" i="7" s="1"/>
  <c r="O83" i="7"/>
  <c r="X82" i="7"/>
  <c r="AG132" i="8" l="1"/>
  <c r="AJ132" i="8"/>
  <c r="AK132" i="8" s="1"/>
  <c r="AN131" i="8"/>
  <c r="AM131" i="8"/>
  <c r="AO131" i="8"/>
  <c r="AC132" i="8"/>
  <c r="AL132" i="8"/>
  <c r="O135" i="8"/>
  <c r="AD135" i="8" s="1"/>
  <c r="AE135" i="8" s="1"/>
  <c r="AF135" i="8" s="1"/>
  <c r="Q134" i="8"/>
  <c r="P134" i="8"/>
  <c r="X134" i="8"/>
  <c r="T133" i="8"/>
  <c r="V133" i="8" s="1"/>
  <c r="Z133" i="8" s="1"/>
  <c r="AA133" i="8" s="1"/>
  <c r="AB133" i="8" s="1"/>
  <c r="R133" i="8"/>
  <c r="U132" i="8"/>
  <c r="U46" i="8"/>
  <c r="O49" i="8"/>
  <c r="Q48" i="8"/>
  <c r="X48" i="8"/>
  <c r="P48" i="8"/>
  <c r="R47" i="8"/>
  <c r="T47" i="8"/>
  <c r="V47" i="8" s="1"/>
  <c r="Z47" i="8" s="1"/>
  <c r="AA47" i="8" s="1"/>
  <c r="AB47" i="8" s="1"/>
  <c r="AC47" i="8" s="1"/>
  <c r="U81" i="7"/>
  <c r="V82" i="7"/>
  <c r="Z82" i="7" s="1"/>
  <c r="AA82" i="7" s="1"/>
  <c r="AB82" i="7" s="1"/>
  <c r="AC82" i="7" s="1"/>
  <c r="R82" i="7"/>
  <c r="P83" i="7"/>
  <c r="Q83" i="7"/>
  <c r="T83" i="7" s="1"/>
  <c r="O84" i="7"/>
  <c r="X83" i="7"/>
  <c r="AG133" i="8" l="1"/>
  <c r="AJ133" i="8"/>
  <c r="AK133" i="8" s="1"/>
  <c r="AL133" i="8" s="1"/>
  <c r="AM132" i="8"/>
  <c r="AN132" i="8"/>
  <c r="AO132" i="8"/>
  <c r="AC133" i="8"/>
  <c r="U133" i="8"/>
  <c r="T134" i="8"/>
  <c r="V134" i="8" s="1"/>
  <c r="Z134" i="8" s="1"/>
  <c r="AA134" i="8" s="1"/>
  <c r="AB134" i="8" s="1"/>
  <c r="R134" i="8"/>
  <c r="X135" i="8"/>
  <c r="O136" i="8"/>
  <c r="AD136" i="8" s="1"/>
  <c r="AE136" i="8" s="1"/>
  <c r="AF136" i="8" s="1"/>
  <c r="Q135" i="8"/>
  <c r="P135" i="8"/>
  <c r="O50" i="8"/>
  <c r="Q49" i="8"/>
  <c r="X49" i="8"/>
  <c r="P49" i="8"/>
  <c r="T48" i="8"/>
  <c r="V48" i="8" s="1"/>
  <c r="Z48" i="8" s="1"/>
  <c r="AA48" i="8" s="1"/>
  <c r="AB48" i="8" s="1"/>
  <c r="AC48" i="8" s="1"/>
  <c r="R48" i="8"/>
  <c r="U47" i="8"/>
  <c r="U82" i="7"/>
  <c r="V83" i="7"/>
  <c r="Z83" i="7" s="1"/>
  <c r="AA83" i="7" s="1"/>
  <c r="AB83" i="7" s="1"/>
  <c r="AC83" i="7" s="1"/>
  <c r="R83" i="7"/>
  <c r="P84" i="7"/>
  <c r="Q84" i="7"/>
  <c r="T84" i="7" s="1"/>
  <c r="O85" i="7"/>
  <c r="X84" i="7"/>
  <c r="AG134" i="8" l="1"/>
  <c r="AJ134" i="8"/>
  <c r="AK134" i="8" s="1"/>
  <c r="AN133" i="8"/>
  <c r="AO133" i="8"/>
  <c r="AM133" i="8"/>
  <c r="AC134" i="8"/>
  <c r="AL134" i="8"/>
  <c r="R135" i="8"/>
  <c r="T135" i="8"/>
  <c r="V135" i="8" s="1"/>
  <c r="Z135" i="8" s="1"/>
  <c r="AA135" i="8" s="1"/>
  <c r="AB135" i="8" s="1"/>
  <c r="P136" i="8"/>
  <c r="X136" i="8"/>
  <c r="O137" i="8"/>
  <c r="AD137" i="8" s="1"/>
  <c r="AE137" i="8" s="1"/>
  <c r="AF137" i="8" s="1"/>
  <c r="Q136" i="8"/>
  <c r="U134" i="8"/>
  <c r="T49" i="8"/>
  <c r="V49" i="8" s="1"/>
  <c r="Z49" i="8" s="1"/>
  <c r="AA49" i="8" s="1"/>
  <c r="AB49" i="8" s="1"/>
  <c r="AC49" i="8" s="1"/>
  <c r="R49" i="8"/>
  <c r="U48" i="8"/>
  <c r="O51" i="8"/>
  <c r="Q50" i="8"/>
  <c r="X50" i="8"/>
  <c r="P50" i="8"/>
  <c r="V84" i="7"/>
  <c r="Z84" i="7" s="1"/>
  <c r="AA84" i="7" s="1"/>
  <c r="AB84" i="7" s="1"/>
  <c r="AC84" i="7" s="1"/>
  <c r="U83" i="7"/>
  <c r="P85" i="7"/>
  <c r="Q85" i="7"/>
  <c r="T85" i="7" s="1"/>
  <c r="R84" i="7"/>
  <c r="O86" i="7"/>
  <c r="X85" i="7"/>
  <c r="AG135" i="8" l="1"/>
  <c r="AJ135" i="8"/>
  <c r="AK135" i="8" s="1"/>
  <c r="AN134" i="8"/>
  <c r="AM134" i="8"/>
  <c r="AO134" i="8"/>
  <c r="AC135" i="8"/>
  <c r="AL135" i="8"/>
  <c r="U135" i="8"/>
  <c r="T136" i="8"/>
  <c r="V136" i="8" s="1"/>
  <c r="Z136" i="8" s="1"/>
  <c r="AA136" i="8" s="1"/>
  <c r="AB136" i="8" s="1"/>
  <c r="R136" i="8"/>
  <c r="Q137" i="8"/>
  <c r="P137" i="8"/>
  <c r="X137" i="8"/>
  <c r="O138" i="8"/>
  <c r="AD138" i="8" s="1"/>
  <c r="AE138" i="8" s="1"/>
  <c r="AF138" i="8" s="1"/>
  <c r="U49" i="8"/>
  <c r="T50" i="8"/>
  <c r="R50" i="8"/>
  <c r="O52" i="8"/>
  <c r="Q51" i="8"/>
  <c r="X51" i="8"/>
  <c r="P51" i="8"/>
  <c r="U84" i="7"/>
  <c r="V85" i="7"/>
  <c r="Z85" i="7" s="1"/>
  <c r="AA85" i="7" s="1"/>
  <c r="AB85" i="7" s="1"/>
  <c r="AC85" i="7" s="1"/>
  <c r="R85" i="7"/>
  <c r="P86" i="7"/>
  <c r="Q86" i="7"/>
  <c r="T86" i="7" s="1"/>
  <c r="X86" i="7"/>
  <c r="O87" i="7"/>
  <c r="AG136" i="8" l="1"/>
  <c r="AJ136" i="8"/>
  <c r="AK136" i="8" s="1"/>
  <c r="AN135" i="8"/>
  <c r="AM135" i="8"/>
  <c r="AO135" i="8"/>
  <c r="AC136" i="8"/>
  <c r="AL136" i="8"/>
  <c r="T137" i="8"/>
  <c r="V137" i="8" s="1"/>
  <c r="Z137" i="8" s="1"/>
  <c r="AA137" i="8" s="1"/>
  <c r="AB137" i="8" s="1"/>
  <c r="R137" i="8"/>
  <c r="Q138" i="8"/>
  <c r="P138" i="8"/>
  <c r="X138" i="8"/>
  <c r="O139" i="8"/>
  <c r="AD139" i="8" s="1"/>
  <c r="AE139" i="8" s="1"/>
  <c r="AF139" i="8" s="1"/>
  <c r="U136" i="8"/>
  <c r="O53" i="8"/>
  <c r="Q52" i="8"/>
  <c r="X52" i="8"/>
  <c r="P52" i="8"/>
  <c r="T51" i="8"/>
  <c r="V51" i="8" s="1"/>
  <c r="Z51" i="8" s="1"/>
  <c r="AA51" i="8" s="1"/>
  <c r="AB51" i="8" s="1"/>
  <c r="AC51" i="8" s="1"/>
  <c r="R51" i="8"/>
  <c r="V50" i="8"/>
  <c r="Z50" i="8" s="1"/>
  <c r="AA50" i="8" s="1"/>
  <c r="AB50" i="8" s="1"/>
  <c r="AC50" i="8" s="1"/>
  <c r="U50" i="8"/>
  <c r="U85" i="7"/>
  <c r="V86" i="7"/>
  <c r="Z86" i="7" s="1"/>
  <c r="AA86" i="7" s="1"/>
  <c r="AB86" i="7" s="1"/>
  <c r="AC86" i="7" s="1"/>
  <c r="R86" i="7"/>
  <c r="P87" i="7"/>
  <c r="Q87" i="7"/>
  <c r="T87" i="7" s="1"/>
  <c r="O88" i="7"/>
  <c r="X87" i="7"/>
  <c r="AG137" i="8" l="1"/>
  <c r="AJ137" i="8"/>
  <c r="AK137" i="8" s="1"/>
  <c r="AM136" i="8"/>
  <c r="AN136" i="8"/>
  <c r="AO136" i="8"/>
  <c r="AC137" i="8"/>
  <c r="AL137" i="8"/>
  <c r="U137" i="8"/>
  <c r="Q139" i="8"/>
  <c r="P139" i="8"/>
  <c r="O140" i="8"/>
  <c r="AD140" i="8" s="1"/>
  <c r="AE140" i="8" s="1"/>
  <c r="AF140" i="8" s="1"/>
  <c r="X139" i="8"/>
  <c r="R138" i="8"/>
  <c r="T138" i="8"/>
  <c r="V138" i="8" s="1"/>
  <c r="Z138" i="8" s="1"/>
  <c r="AA138" i="8" s="1"/>
  <c r="AB138" i="8" s="1"/>
  <c r="T52" i="8"/>
  <c r="V52" i="8" s="1"/>
  <c r="Z52" i="8" s="1"/>
  <c r="AA52" i="8" s="1"/>
  <c r="AB52" i="8" s="1"/>
  <c r="AC52" i="8" s="1"/>
  <c r="R52" i="8"/>
  <c r="U51" i="8"/>
  <c r="O54" i="8"/>
  <c r="Q53" i="8"/>
  <c r="X53" i="8"/>
  <c r="P53" i="8"/>
  <c r="V87" i="7"/>
  <c r="Z87" i="7" s="1"/>
  <c r="AA87" i="7" s="1"/>
  <c r="AB87" i="7" s="1"/>
  <c r="AC87" i="7" s="1"/>
  <c r="U86" i="7"/>
  <c r="R87" i="7"/>
  <c r="P88" i="7"/>
  <c r="Q88" i="7"/>
  <c r="T88" i="7" s="1"/>
  <c r="X88" i="7"/>
  <c r="O89" i="7"/>
  <c r="AG138" i="8" l="1"/>
  <c r="AJ138" i="8"/>
  <c r="AK138" i="8" s="1"/>
  <c r="AN137" i="8"/>
  <c r="AM137" i="8"/>
  <c r="AO137" i="8"/>
  <c r="AC138" i="8"/>
  <c r="AL138" i="8"/>
  <c r="Q140" i="8"/>
  <c r="X140" i="8"/>
  <c r="O141" i="8"/>
  <c r="AD141" i="8" s="1"/>
  <c r="AE141" i="8" s="1"/>
  <c r="AF141" i="8" s="1"/>
  <c r="P140" i="8"/>
  <c r="T139" i="8"/>
  <c r="V139" i="8" s="1"/>
  <c r="Z139" i="8" s="1"/>
  <c r="AA139" i="8" s="1"/>
  <c r="AB139" i="8" s="1"/>
  <c r="R139" i="8"/>
  <c r="U138" i="8"/>
  <c r="U52" i="8"/>
  <c r="T53" i="8"/>
  <c r="R53" i="8"/>
  <c r="O55" i="8"/>
  <c r="Q54" i="8"/>
  <c r="X54" i="8"/>
  <c r="P54" i="8"/>
  <c r="U87" i="7"/>
  <c r="V88" i="7"/>
  <c r="Z88" i="7" s="1"/>
  <c r="AA88" i="7" s="1"/>
  <c r="AB88" i="7" s="1"/>
  <c r="AC88" i="7" s="1"/>
  <c r="P89" i="7"/>
  <c r="Q89" i="7"/>
  <c r="T89" i="7" s="1"/>
  <c r="R88" i="7"/>
  <c r="O90" i="7"/>
  <c r="X89" i="7"/>
  <c r="AG139" i="8" l="1"/>
  <c r="AJ139" i="8"/>
  <c r="AK139" i="8" s="1"/>
  <c r="AL139" i="8" s="1"/>
  <c r="AC139" i="8"/>
  <c r="U139" i="8"/>
  <c r="AM138" i="8"/>
  <c r="AN138" i="8"/>
  <c r="AO138" i="8"/>
  <c r="P141" i="8"/>
  <c r="X141" i="8"/>
  <c r="Q141" i="8"/>
  <c r="O142" i="8"/>
  <c r="AD142" i="8" s="1"/>
  <c r="AE142" i="8" s="1"/>
  <c r="AF142" i="8" s="1"/>
  <c r="T140" i="8"/>
  <c r="V140" i="8" s="1"/>
  <c r="Z140" i="8" s="1"/>
  <c r="AA140" i="8" s="1"/>
  <c r="AB140" i="8" s="1"/>
  <c r="R140" i="8"/>
  <c r="R54" i="8"/>
  <c r="T54" i="8"/>
  <c r="V54" i="8" s="1"/>
  <c r="Z54" i="8" s="1"/>
  <c r="AA54" i="8" s="1"/>
  <c r="AB54" i="8" s="1"/>
  <c r="AC54" i="8" s="1"/>
  <c r="O56" i="8"/>
  <c r="Q55" i="8"/>
  <c r="X55" i="8"/>
  <c r="P55" i="8"/>
  <c r="V53" i="8"/>
  <c r="Z53" i="8" s="1"/>
  <c r="AA53" i="8" s="1"/>
  <c r="AB53" i="8" s="1"/>
  <c r="AC53" i="8" s="1"/>
  <c r="U53" i="8"/>
  <c r="U88" i="7"/>
  <c r="V89" i="7"/>
  <c r="Z89" i="7" s="1"/>
  <c r="AA89" i="7" s="1"/>
  <c r="AB89" i="7" s="1"/>
  <c r="AC89" i="7" s="1"/>
  <c r="R89" i="7"/>
  <c r="P90" i="7"/>
  <c r="Q90" i="7"/>
  <c r="T90" i="7" s="1"/>
  <c r="X90" i="7"/>
  <c r="O91" i="7"/>
  <c r="AG140" i="8" l="1"/>
  <c r="AJ140" i="8"/>
  <c r="AK140" i="8" s="1"/>
  <c r="AN139" i="8"/>
  <c r="AO139" i="8"/>
  <c r="AM139" i="8"/>
  <c r="AC140" i="8"/>
  <c r="AL140" i="8"/>
  <c r="U54" i="8"/>
  <c r="O143" i="8"/>
  <c r="AD143" i="8" s="1"/>
  <c r="AE143" i="8" s="1"/>
  <c r="AF143" i="8" s="1"/>
  <c r="Q142" i="8"/>
  <c r="P142" i="8"/>
  <c r="X142" i="8"/>
  <c r="T141" i="8"/>
  <c r="V141" i="8" s="1"/>
  <c r="Z141" i="8" s="1"/>
  <c r="AA141" i="8" s="1"/>
  <c r="AB141" i="8" s="1"/>
  <c r="R141" i="8"/>
  <c r="U140" i="8"/>
  <c r="R55" i="8"/>
  <c r="T55" i="8"/>
  <c r="V55" i="8" s="1"/>
  <c r="Z55" i="8" s="1"/>
  <c r="AA55" i="8" s="1"/>
  <c r="AB55" i="8" s="1"/>
  <c r="AC55" i="8" s="1"/>
  <c r="O57" i="8"/>
  <c r="Q56" i="8"/>
  <c r="X56" i="8"/>
  <c r="P56" i="8"/>
  <c r="U89" i="7"/>
  <c r="V90" i="7"/>
  <c r="Z90" i="7" s="1"/>
  <c r="AA90" i="7" s="1"/>
  <c r="AB90" i="7" s="1"/>
  <c r="AC90" i="7" s="1"/>
  <c r="R90" i="7"/>
  <c r="P91" i="7"/>
  <c r="Q91" i="7"/>
  <c r="T91" i="7" s="1"/>
  <c r="O92" i="7"/>
  <c r="X91" i="7"/>
  <c r="AG141" i="8" l="1"/>
  <c r="AJ141" i="8"/>
  <c r="AK141" i="8" s="1"/>
  <c r="AM140" i="8"/>
  <c r="AO140" i="8"/>
  <c r="AN140" i="8"/>
  <c r="AC141" i="8"/>
  <c r="AL141" i="8"/>
  <c r="U141" i="8"/>
  <c r="X143" i="8"/>
  <c r="O144" i="8"/>
  <c r="AD144" i="8" s="1"/>
  <c r="AE144" i="8" s="1"/>
  <c r="AF144" i="8" s="1"/>
  <c r="Q143" i="8"/>
  <c r="P143" i="8"/>
  <c r="T142" i="8"/>
  <c r="V142" i="8" s="1"/>
  <c r="Z142" i="8" s="1"/>
  <c r="AA142" i="8" s="1"/>
  <c r="AB142" i="8" s="1"/>
  <c r="R142" i="8"/>
  <c r="T56" i="8"/>
  <c r="V56" i="8" s="1"/>
  <c r="Z56" i="8" s="1"/>
  <c r="AA56" i="8" s="1"/>
  <c r="AB56" i="8" s="1"/>
  <c r="AC56" i="8" s="1"/>
  <c r="R56" i="8"/>
  <c r="O58" i="8"/>
  <c r="Q57" i="8"/>
  <c r="X57" i="8"/>
  <c r="P57" i="8"/>
  <c r="U55" i="8"/>
  <c r="U90" i="7"/>
  <c r="V91" i="7"/>
  <c r="Z91" i="7" s="1"/>
  <c r="AA91" i="7" s="1"/>
  <c r="AB91" i="7" s="1"/>
  <c r="AC91" i="7" s="1"/>
  <c r="R91" i="7"/>
  <c r="P92" i="7"/>
  <c r="Q92" i="7"/>
  <c r="T92" i="7" s="1"/>
  <c r="X92" i="7"/>
  <c r="O93" i="7"/>
  <c r="AG142" i="8" l="1"/>
  <c r="AJ142" i="8"/>
  <c r="AK142" i="8" s="1"/>
  <c r="AL142" i="8" s="1"/>
  <c r="AN141" i="8"/>
  <c r="AM141" i="8"/>
  <c r="AO141" i="8"/>
  <c r="AC142" i="8"/>
  <c r="R143" i="8"/>
  <c r="T143" i="8"/>
  <c r="V143" i="8" s="1"/>
  <c r="Z143" i="8" s="1"/>
  <c r="AA143" i="8" s="1"/>
  <c r="AB143" i="8" s="1"/>
  <c r="P144" i="8"/>
  <c r="X144" i="8"/>
  <c r="O145" i="8"/>
  <c r="AD145" i="8" s="1"/>
  <c r="AE145" i="8" s="1"/>
  <c r="AF145" i="8" s="1"/>
  <c r="Q144" i="8"/>
  <c r="U142" i="8"/>
  <c r="U56" i="8"/>
  <c r="O59" i="8"/>
  <c r="Q58" i="8"/>
  <c r="X58" i="8"/>
  <c r="P58" i="8"/>
  <c r="T57" i="8"/>
  <c r="V57" i="8" s="1"/>
  <c r="Z57" i="8" s="1"/>
  <c r="AA57" i="8" s="1"/>
  <c r="AB57" i="8" s="1"/>
  <c r="AC57" i="8" s="1"/>
  <c r="R57" i="8"/>
  <c r="U91" i="7"/>
  <c r="V92" i="7"/>
  <c r="Z92" i="7" s="1"/>
  <c r="AA92" i="7" s="1"/>
  <c r="AB92" i="7" s="1"/>
  <c r="AC92" i="7" s="1"/>
  <c r="P93" i="7"/>
  <c r="Q93" i="7"/>
  <c r="R92" i="7"/>
  <c r="O94" i="7"/>
  <c r="X93" i="7"/>
  <c r="AG143" i="8" l="1"/>
  <c r="AJ143" i="8"/>
  <c r="AK143" i="8" s="1"/>
  <c r="AM142" i="8"/>
  <c r="AO142" i="8"/>
  <c r="AN142" i="8"/>
  <c r="AC143" i="8"/>
  <c r="AL143" i="8"/>
  <c r="Q145" i="8"/>
  <c r="P145" i="8"/>
  <c r="X145" i="8"/>
  <c r="O146" i="8"/>
  <c r="AD146" i="8" s="1"/>
  <c r="AE146" i="8" s="1"/>
  <c r="AF146" i="8" s="1"/>
  <c r="U143" i="8"/>
  <c r="T144" i="8"/>
  <c r="V144" i="8" s="1"/>
  <c r="Z144" i="8" s="1"/>
  <c r="AA144" i="8" s="1"/>
  <c r="AB144" i="8" s="1"/>
  <c r="R144" i="8"/>
  <c r="O60" i="8"/>
  <c r="Q59" i="8"/>
  <c r="X59" i="8"/>
  <c r="P59" i="8"/>
  <c r="T58" i="8"/>
  <c r="V58" i="8" s="1"/>
  <c r="Z58" i="8" s="1"/>
  <c r="AA58" i="8" s="1"/>
  <c r="AB58" i="8" s="1"/>
  <c r="AC58" i="8" s="1"/>
  <c r="R58" i="8"/>
  <c r="U57" i="8"/>
  <c r="T93" i="7"/>
  <c r="V93" i="7" s="1"/>
  <c r="Z93" i="7" s="1"/>
  <c r="AA93" i="7" s="1"/>
  <c r="AB93" i="7" s="1"/>
  <c r="AC93" i="7" s="1"/>
  <c r="U92" i="7"/>
  <c r="R93" i="7"/>
  <c r="P94" i="7"/>
  <c r="Q94" i="7"/>
  <c r="T94" i="7" s="1"/>
  <c r="X94" i="7"/>
  <c r="O95" i="7"/>
  <c r="AG144" i="8" l="1"/>
  <c r="AJ144" i="8"/>
  <c r="AK144" i="8" s="1"/>
  <c r="AL144" i="8" s="1"/>
  <c r="AC144" i="8"/>
  <c r="AN143" i="8"/>
  <c r="AM143" i="8"/>
  <c r="AO143" i="8"/>
  <c r="Q146" i="8"/>
  <c r="P146" i="8"/>
  <c r="O147" i="8"/>
  <c r="AD147" i="8" s="1"/>
  <c r="AE147" i="8" s="1"/>
  <c r="AF147" i="8" s="1"/>
  <c r="X146" i="8"/>
  <c r="U144" i="8"/>
  <c r="T145" i="8"/>
  <c r="V145" i="8" s="1"/>
  <c r="Z145" i="8" s="1"/>
  <c r="AA145" i="8" s="1"/>
  <c r="AB145" i="8" s="1"/>
  <c r="R145" i="8"/>
  <c r="U58" i="8"/>
  <c r="R59" i="8"/>
  <c r="T59" i="8"/>
  <c r="V59" i="8" s="1"/>
  <c r="Z59" i="8" s="1"/>
  <c r="AA59" i="8" s="1"/>
  <c r="AB59" i="8" s="1"/>
  <c r="O61" i="8"/>
  <c r="P60" i="8"/>
  <c r="Q60" i="8"/>
  <c r="X60" i="8"/>
  <c r="U93" i="7"/>
  <c r="V94" i="7"/>
  <c r="Z94" i="7" s="1"/>
  <c r="AA94" i="7" s="1"/>
  <c r="AB94" i="7" s="1"/>
  <c r="AC94" i="7" s="1"/>
  <c r="P95" i="7"/>
  <c r="Q95" i="7"/>
  <c r="T95" i="7" s="1"/>
  <c r="R94" i="7"/>
  <c r="O96" i="7"/>
  <c r="X95" i="7"/>
  <c r="AG145" i="8" l="1"/>
  <c r="AJ145" i="8"/>
  <c r="AK145" i="8" s="1"/>
  <c r="AM144" i="8"/>
  <c r="AN144" i="8"/>
  <c r="AO144" i="8"/>
  <c r="AC145" i="8"/>
  <c r="AL145" i="8"/>
  <c r="U145" i="8"/>
  <c r="Q147" i="8"/>
  <c r="X147" i="8"/>
  <c r="O148" i="8"/>
  <c r="AD148" i="8" s="1"/>
  <c r="AE148" i="8" s="1"/>
  <c r="AF148" i="8" s="1"/>
  <c r="P147" i="8"/>
  <c r="T146" i="8"/>
  <c r="V146" i="8" s="1"/>
  <c r="Z146" i="8" s="1"/>
  <c r="AA146" i="8" s="1"/>
  <c r="AB146" i="8" s="1"/>
  <c r="R146" i="8"/>
  <c r="R60" i="8"/>
  <c r="T60" i="8"/>
  <c r="V60" i="8" s="1"/>
  <c r="Z60" i="8" s="1"/>
  <c r="AA60" i="8" s="1"/>
  <c r="AB60" i="8" s="1"/>
  <c r="AC60" i="8" s="1"/>
  <c r="O62" i="8"/>
  <c r="Q61" i="8"/>
  <c r="X61" i="8"/>
  <c r="P61" i="8"/>
  <c r="AC59" i="8"/>
  <c r="U59" i="8"/>
  <c r="R95" i="7"/>
  <c r="U94" i="7"/>
  <c r="U95" i="7" s="1"/>
  <c r="V95" i="7"/>
  <c r="Z95" i="7" s="1"/>
  <c r="AA95" i="7" s="1"/>
  <c r="AB95" i="7" s="1"/>
  <c r="AC95" i="7" s="1"/>
  <c r="P96" i="7"/>
  <c r="Q96" i="7"/>
  <c r="T96" i="7" s="1"/>
  <c r="V96" i="7" s="1"/>
  <c r="O97" i="7"/>
  <c r="X96" i="7"/>
  <c r="AG146" i="8" l="1"/>
  <c r="AJ146" i="8"/>
  <c r="AK146" i="8" s="1"/>
  <c r="AN145" i="8"/>
  <c r="AM145" i="8"/>
  <c r="AO145" i="8"/>
  <c r="AC146" i="8"/>
  <c r="AL146" i="8"/>
  <c r="P148" i="8"/>
  <c r="X148" i="8"/>
  <c r="O149" i="8"/>
  <c r="AD149" i="8" s="1"/>
  <c r="AE149" i="8" s="1"/>
  <c r="AF149" i="8" s="1"/>
  <c r="Q148" i="8"/>
  <c r="T147" i="8"/>
  <c r="V147" i="8" s="1"/>
  <c r="Z147" i="8" s="1"/>
  <c r="AA147" i="8" s="1"/>
  <c r="AB147" i="8" s="1"/>
  <c r="R147" i="8"/>
  <c r="U146" i="8"/>
  <c r="R61" i="8"/>
  <c r="T61" i="8"/>
  <c r="V61" i="8" s="1"/>
  <c r="Z61" i="8" s="1"/>
  <c r="AA61" i="8" s="1"/>
  <c r="AB61" i="8" s="1"/>
  <c r="AC61" i="8" s="1"/>
  <c r="O63" i="8"/>
  <c r="Q62" i="8"/>
  <c r="X62" i="8"/>
  <c r="P62" i="8"/>
  <c r="U60" i="8"/>
  <c r="Z96" i="7"/>
  <c r="AA96" i="7" s="1"/>
  <c r="AB96" i="7" s="1"/>
  <c r="AC96" i="7" s="1"/>
  <c r="P97" i="7"/>
  <c r="Q97" i="7"/>
  <c r="T97" i="7" s="1"/>
  <c r="R96" i="7"/>
  <c r="O98" i="7"/>
  <c r="X97" i="7"/>
  <c r="AG147" i="8" l="1"/>
  <c r="AJ147" i="8"/>
  <c r="AK147" i="8" s="1"/>
  <c r="AL147" i="8" s="1"/>
  <c r="AC147" i="8"/>
  <c r="U147" i="8"/>
  <c r="AM146" i="8"/>
  <c r="AO146" i="8"/>
  <c r="AN146" i="8"/>
  <c r="T148" i="8"/>
  <c r="V148" i="8" s="1"/>
  <c r="Z148" i="8" s="1"/>
  <c r="AA148" i="8" s="1"/>
  <c r="AB148" i="8" s="1"/>
  <c r="R148" i="8"/>
  <c r="O150" i="8"/>
  <c r="AD150" i="8" s="1"/>
  <c r="AE150" i="8" s="1"/>
  <c r="AF150" i="8" s="1"/>
  <c r="Q149" i="8"/>
  <c r="P149" i="8"/>
  <c r="X149" i="8"/>
  <c r="U61" i="8"/>
  <c r="R62" i="8"/>
  <c r="T62" i="8"/>
  <c r="V62" i="8" s="1"/>
  <c r="Z62" i="8" s="1"/>
  <c r="AA62" i="8" s="1"/>
  <c r="AB62" i="8" s="1"/>
  <c r="AC62" i="8" s="1"/>
  <c r="O64" i="8"/>
  <c r="Q63" i="8"/>
  <c r="X63" i="8"/>
  <c r="P63" i="8"/>
  <c r="U96" i="7"/>
  <c r="V97" i="7"/>
  <c r="Z97" i="7" s="1"/>
  <c r="AA97" i="7" s="1"/>
  <c r="AB97" i="7" s="1"/>
  <c r="AC97" i="7" s="1"/>
  <c r="R97" i="7"/>
  <c r="P98" i="7"/>
  <c r="Q98" i="7"/>
  <c r="T98" i="7" s="1"/>
  <c r="O99" i="7"/>
  <c r="X98" i="7"/>
  <c r="AG148" i="8" l="1"/>
  <c r="AJ148" i="8"/>
  <c r="AK148" i="8" s="1"/>
  <c r="AN147" i="8"/>
  <c r="AM147" i="8"/>
  <c r="AO147" i="8"/>
  <c r="AC148" i="8"/>
  <c r="AL148" i="8"/>
  <c r="T149" i="8"/>
  <c r="V149" i="8" s="1"/>
  <c r="Z149" i="8" s="1"/>
  <c r="AA149" i="8" s="1"/>
  <c r="AB149" i="8" s="1"/>
  <c r="R149" i="8"/>
  <c r="X150" i="8"/>
  <c r="O151" i="8"/>
  <c r="AD151" i="8" s="1"/>
  <c r="AE151" i="8" s="1"/>
  <c r="AF151" i="8" s="1"/>
  <c r="Q150" i="8"/>
  <c r="P150" i="8"/>
  <c r="U148" i="8"/>
  <c r="U62" i="8"/>
  <c r="R63" i="8"/>
  <c r="T63" i="8"/>
  <c r="V63" i="8" s="1"/>
  <c r="Z63" i="8" s="1"/>
  <c r="AA63" i="8" s="1"/>
  <c r="AB63" i="8" s="1"/>
  <c r="AC63" i="8" s="1"/>
  <c r="O65" i="8"/>
  <c r="Q64" i="8"/>
  <c r="X64" i="8"/>
  <c r="P64" i="8"/>
  <c r="V98" i="7"/>
  <c r="Z98" i="7" s="1"/>
  <c r="AA98" i="7" s="1"/>
  <c r="AB98" i="7" s="1"/>
  <c r="AC98" i="7" s="1"/>
  <c r="U97" i="7"/>
  <c r="R98" i="7"/>
  <c r="P99" i="7"/>
  <c r="Q99" i="7"/>
  <c r="T99" i="7" s="1"/>
  <c r="O100" i="7"/>
  <c r="X99" i="7"/>
  <c r="AG149" i="8" l="1"/>
  <c r="AJ149" i="8"/>
  <c r="AK149" i="8" s="1"/>
  <c r="AM148" i="8"/>
  <c r="AN148" i="8"/>
  <c r="AO148" i="8"/>
  <c r="AC149" i="8"/>
  <c r="AL149" i="8"/>
  <c r="U149" i="8"/>
  <c r="R150" i="8"/>
  <c r="T150" i="8"/>
  <c r="V150" i="8" s="1"/>
  <c r="Z150" i="8" s="1"/>
  <c r="AA150" i="8" s="1"/>
  <c r="AB150" i="8" s="1"/>
  <c r="P151" i="8"/>
  <c r="X151" i="8"/>
  <c r="O152" i="8"/>
  <c r="AD152" i="8" s="1"/>
  <c r="AE152" i="8" s="1"/>
  <c r="AF152" i="8" s="1"/>
  <c r="Q151" i="8"/>
  <c r="U63" i="8"/>
  <c r="R64" i="8"/>
  <c r="T64" i="8"/>
  <c r="V64" i="8" s="1"/>
  <c r="Z64" i="8" s="1"/>
  <c r="AA64" i="8" s="1"/>
  <c r="AB64" i="8" s="1"/>
  <c r="AC64" i="8" s="1"/>
  <c r="O66" i="8"/>
  <c r="Q65" i="8"/>
  <c r="X65" i="8"/>
  <c r="P65" i="8"/>
  <c r="U98" i="7"/>
  <c r="V99" i="7"/>
  <c r="Z99" i="7" s="1"/>
  <c r="AA99" i="7" s="1"/>
  <c r="AB99" i="7" s="1"/>
  <c r="AC99" i="7" s="1"/>
  <c r="R99" i="7"/>
  <c r="P100" i="7"/>
  <c r="Q100" i="7"/>
  <c r="T100" i="7" s="1"/>
  <c r="X100" i="7"/>
  <c r="O101" i="7"/>
  <c r="AG150" i="8" l="1"/>
  <c r="AJ150" i="8"/>
  <c r="AC150" i="8"/>
  <c r="AL150" i="8"/>
  <c r="AO150" i="8" s="1"/>
  <c r="AN149" i="8"/>
  <c r="AM149" i="8"/>
  <c r="AO149" i="8"/>
  <c r="Q152" i="8"/>
  <c r="P152" i="8"/>
  <c r="X152" i="8"/>
  <c r="O153" i="8"/>
  <c r="AD153" i="8" s="1"/>
  <c r="AE153" i="8" s="1"/>
  <c r="AF153" i="8" s="1"/>
  <c r="U150" i="8"/>
  <c r="T151" i="8"/>
  <c r="V151" i="8" s="1"/>
  <c r="Z151" i="8" s="1"/>
  <c r="AA151" i="8" s="1"/>
  <c r="AB151" i="8" s="1"/>
  <c r="R151" i="8"/>
  <c r="T65" i="8"/>
  <c r="V65" i="8" s="1"/>
  <c r="Z65" i="8" s="1"/>
  <c r="AA65" i="8" s="1"/>
  <c r="AB65" i="8" s="1"/>
  <c r="AC65" i="8" s="1"/>
  <c r="R65" i="8"/>
  <c r="O67" i="8"/>
  <c r="Q66" i="8"/>
  <c r="X66" i="8"/>
  <c r="P66" i="8"/>
  <c r="U64" i="8"/>
  <c r="U99" i="7"/>
  <c r="V100" i="7"/>
  <c r="Z100" i="7" s="1"/>
  <c r="AA100" i="7" s="1"/>
  <c r="AB100" i="7" s="1"/>
  <c r="AC100" i="7" s="1"/>
  <c r="R100" i="7"/>
  <c r="P101" i="7"/>
  <c r="Q101" i="7"/>
  <c r="T101" i="7" s="1"/>
  <c r="O102" i="7"/>
  <c r="X101" i="7"/>
  <c r="AG151" i="8" l="1"/>
  <c r="AJ151" i="8"/>
  <c r="AM150" i="8"/>
  <c r="AN150" i="8"/>
  <c r="AC151" i="8"/>
  <c r="AL151" i="8"/>
  <c r="Q153" i="8"/>
  <c r="P153" i="8"/>
  <c r="X153" i="8"/>
  <c r="O154" i="8"/>
  <c r="AD154" i="8" s="1"/>
  <c r="AE154" i="8" s="1"/>
  <c r="AF154" i="8" s="1"/>
  <c r="U151" i="8"/>
  <c r="T152" i="8"/>
  <c r="V152" i="8" s="1"/>
  <c r="Z152" i="8" s="1"/>
  <c r="AA152" i="8" s="1"/>
  <c r="AB152" i="8" s="1"/>
  <c r="R152" i="8"/>
  <c r="U65" i="8"/>
  <c r="O68" i="8"/>
  <c r="Q67" i="8"/>
  <c r="X67" i="8"/>
  <c r="P67" i="8"/>
  <c r="T66" i="8"/>
  <c r="V66" i="8" s="1"/>
  <c r="Z66" i="8" s="1"/>
  <c r="AA66" i="8" s="1"/>
  <c r="AB66" i="8" s="1"/>
  <c r="AC66" i="8" s="1"/>
  <c r="R66" i="8"/>
  <c r="U100" i="7"/>
  <c r="V101" i="7"/>
  <c r="Z101" i="7" s="1"/>
  <c r="AA101" i="7" s="1"/>
  <c r="AB101" i="7" s="1"/>
  <c r="AC101" i="7" s="1"/>
  <c r="R101" i="7"/>
  <c r="P102" i="7"/>
  <c r="Q102" i="7"/>
  <c r="T102" i="7" s="1"/>
  <c r="O103" i="7"/>
  <c r="X102" i="7"/>
  <c r="AG152" i="8" l="1"/>
  <c r="AJ152" i="8"/>
  <c r="AK152" i="8" s="1"/>
  <c r="AO151" i="8"/>
  <c r="AM151" i="8"/>
  <c r="AN151" i="8"/>
  <c r="AC152" i="8"/>
  <c r="AL152" i="8"/>
  <c r="Q154" i="8"/>
  <c r="P154" i="8"/>
  <c r="O155" i="8"/>
  <c r="AD155" i="8" s="1"/>
  <c r="AE155" i="8" s="1"/>
  <c r="AF155" i="8" s="1"/>
  <c r="X154" i="8"/>
  <c r="U152" i="8"/>
  <c r="R153" i="8"/>
  <c r="T153" i="8"/>
  <c r="V153" i="8" s="1"/>
  <c r="Z153" i="8" s="1"/>
  <c r="AA153" i="8" s="1"/>
  <c r="AB153" i="8" s="1"/>
  <c r="U66" i="8"/>
  <c r="T67" i="8"/>
  <c r="V67" i="8" s="1"/>
  <c r="Z67" i="8" s="1"/>
  <c r="AA67" i="8" s="1"/>
  <c r="AB67" i="8" s="1"/>
  <c r="AC67" i="8" s="1"/>
  <c r="R67" i="8"/>
  <c r="O69" i="8"/>
  <c r="Q68" i="8"/>
  <c r="X68" i="8"/>
  <c r="P68" i="8"/>
  <c r="U101" i="7"/>
  <c r="V102" i="7"/>
  <c r="Z102" i="7" s="1"/>
  <c r="AA102" i="7" s="1"/>
  <c r="AB102" i="7" s="1"/>
  <c r="AC102" i="7" s="1"/>
  <c r="R102" i="7"/>
  <c r="P103" i="7"/>
  <c r="Q103" i="7"/>
  <c r="T103" i="7" s="1"/>
  <c r="O104" i="7"/>
  <c r="X103" i="7"/>
  <c r="AG153" i="8" l="1"/>
  <c r="AJ153" i="8"/>
  <c r="AK153" i="8" s="1"/>
  <c r="AL153" i="8" s="1"/>
  <c r="AC153" i="8"/>
  <c r="AO152" i="8"/>
  <c r="AN152" i="8"/>
  <c r="AM152" i="8"/>
  <c r="Q155" i="8"/>
  <c r="X155" i="8"/>
  <c r="P155" i="8"/>
  <c r="U153" i="8"/>
  <c r="T154" i="8"/>
  <c r="V154" i="8" s="1"/>
  <c r="Z154" i="8" s="1"/>
  <c r="AA154" i="8" s="1"/>
  <c r="AB154" i="8" s="1"/>
  <c r="R154" i="8"/>
  <c r="T68" i="8"/>
  <c r="V68" i="8" s="1"/>
  <c r="Z68" i="8" s="1"/>
  <c r="AA68" i="8" s="1"/>
  <c r="AB68" i="8" s="1"/>
  <c r="AC68" i="8" s="1"/>
  <c r="R68" i="8"/>
  <c r="O70" i="8"/>
  <c r="Q69" i="8"/>
  <c r="X69" i="8"/>
  <c r="P69" i="8"/>
  <c r="U67" i="8"/>
  <c r="U102" i="7"/>
  <c r="V103" i="7"/>
  <c r="Z103" i="7" s="1"/>
  <c r="AA103" i="7" s="1"/>
  <c r="AB103" i="7" s="1"/>
  <c r="AC103" i="7" s="1"/>
  <c r="R103" i="7"/>
  <c r="P104" i="7"/>
  <c r="Q104" i="7"/>
  <c r="T104" i="7" s="1"/>
  <c r="X104" i="7"/>
  <c r="AG154" i="8" l="1"/>
  <c r="AJ154" i="8"/>
  <c r="AM153" i="8"/>
  <c r="AN153" i="8"/>
  <c r="AO153" i="8"/>
  <c r="AC154" i="8"/>
  <c r="AL154" i="8"/>
  <c r="T155" i="8"/>
  <c r="V155" i="8" s="1"/>
  <c r="Z155" i="8" s="1"/>
  <c r="AA155" i="8" s="1"/>
  <c r="AB155" i="8" s="1"/>
  <c r="R155" i="8"/>
  <c r="U154" i="8"/>
  <c r="U68" i="8"/>
  <c r="O71" i="8"/>
  <c r="Q70" i="8"/>
  <c r="X70" i="8"/>
  <c r="P70" i="8"/>
  <c r="T69" i="8"/>
  <c r="V69" i="8" s="1"/>
  <c r="Z69" i="8" s="1"/>
  <c r="AA69" i="8" s="1"/>
  <c r="AB69" i="8" s="1"/>
  <c r="AC69" i="8" s="1"/>
  <c r="R69" i="8"/>
  <c r="U103" i="7"/>
  <c r="V104" i="7"/>
  <c r="Z104" i="7" s="1"/>
  <c r="AA104" i="7" s="1"/>
  <c r="AB104" i="7" s="1"/>
  <c r="AC104" i="7" s="1"/>
  <c r="R104" i="7"/>
  <c r="AG155" i="8" l="1"/>
  <c r="AJ155" i="8"/>
  <c r="AK155" i="8" s="1"/>
  <c r="AO154" i="8"/>
  <c r="AM154" i="8"/>
  <c r="AN154" i="8"/>
  <c r="AC155" i="8"/>
  <c r="AL155" i="8"/>
  <c r="U155" i="8"/>
  <c r="Q71" i="8"/>
  <c r="O72" i="8"/>
  <c r="O75" i="8" s="1"/>
  <c r="AZ5" i="8" s="1"/>
  <c r="X71" i="8"/>
  <c r="P71" i="8"/>
  <c r="T70" i="8"/>
  <c r="V70" i="8" s="1"/>
  <c r="Z70" i="8" s="1"/>
  <c r="AA70" i="8" s="1"/>
  <c r="AB70" i="8" s="1"/>
  <c r="AC70" i="8" s="1"/>
  <c r="R70" i="8"/>
  <c r="U69" i="8"/>
  <c r="U104" i="7"/>
  <c r="AO155" i="8" l="1"/>
  <c r="AM155" i="8"/>
  <c r="AN155" i="8"/>
  <c r="AW89" i="8"/>
  <c r="AW90" i="8"/>
  <c r="U70" i="8"/>
  <c r="Q72" i="8"/>
  <c r="X72" i="8"/>
  <c r="P72" i="8"/>
  <c r="T71" i="8"/>
  <c r="V71" i="8" s="1"/>
  <c r="Z71" i="8" s="1"/>
  <c r="AA71" i="8" s="1"/>
  <c r="AB71" i="8" s="1"/>
  <c r="AC71" i="8" s="1"/>
  <c r="R71" i="8"/>
  <c r="AW91" i="8" l="1"/>
  <c r="T72" i="8"/>
  <c r="V72" i="8" s="1"/>
  <c r="Z72" i="8" s="1"/>
  <c r="AA72" i="8" s="1"/>
  <c r="AB72" i="8" s="1"/>
  <c r="AB77" i="8" s="1"/>
  <c r="R72" i="8"/>
  <c r="U71" i="8"/>
  <c r="AB73" i="8" l="1"/>
  <c r="AB75" i="8"/>
  <c r="AB76" i="8"/>
  <c r="U72" i="8"/>
  <c r="AC72" i="8"/>
  <c r="AP86" i="8" l="1"/>
  <c r="AR86" i="8" s="1"/>
  <c r="AQ86" i="8" l="1"/>
  <c r="AP87" i="8"/>
  <c r="AR87" i="8" l="1"/>
  <c r="AP88" i="8"/>
  <c r="AR88" i="8" s="1"/>
  <c r="AQ87" i="8"/>
  <c r="AQ88" i="8" l="1"/>
  <c r="AP89" i="8"/>
  <c r="AR89" i="8" s="1"/>
  <c r="AQ89" i="8" l="1"/>
  <c r="AP90" i="8"/>
  <c r="AR90" i="8" s="1"/>
  <c r="AQ90" i="8" l="1"/>
  <c r="AP91" i="8"/>
  <c r="AR91" i="8" s="1"/>
  <c r="AP92" i="8" l="1"/>
  <c r="AR92" i="8" s="1"/>
  <c r="AQ91" i="8"/>
  <c r="AQ92" i="8" l="1"/>
  <c r="AP93" i="8"/>
  <c r="AR93" i="8" s="1"/>
  <c r="AQ93" i="8" l="1"/>
  <c r="AP94" i="8"/>
  <c r="AR94" i="8" s="1"/>
  <c r="AQ94" i="8" l="1"/>
  <c r="AP95" i="8"/>
  <c r="AR95" i="8" s="1"/>
  <c r="AQ95" i="8" l="1"/>
  <c r="AL96" i="8" l="1"/>
  <c r="AO96" i="8" l="1"/>
  <c r="AN96" i="8"/>
  <c r="AM96" i="8"/>
  <c r="AP96" i="8" l="1"/>
  <c r="AR96" i="8" s="1"/>
  <c r="AM157" i="8"/>
  <c r="AM158" i="8" s="1"/>
  <c r="AQ96" i="8" l="1"/>
  <c r="AP97" i="8"/>
  <c r="AR97" i="8" s="1"/>
  <c r="AQ97" i="8" l="1"/>
  <c r="AP98" i="8"/>
  <c r="AR98" i="8" s="1"/>
  <c r="AQ98" i="8" l="1"/>
  <c r="AP99" i="8"/>
  <c r="AR99" i="8" s="1"/>
  <c r="AP100" i="8" l="1"/>
  <c r="AR100" i="8" s="1"/>
  <c r="AQ99" i="8"/>
  <c r="AP101" i="8" l="1"/>
  <c r="AR101" i="8" s="1"/>
  <c r="AQ100" i="8"/>
  <c r="AQ101" i="8" l="1"/>
  <c r="AP102" i="8"/>
  <c r="AR102" i="8" s="1"/>
  <c r="AQ102" i="8" l="1"/>
  <c r="AP103" i="8"/>
  <c r="AR103" i="8" s="1"/>
  <c r="AP104" i="8" l="1"/>
  <c r="AR104" i="8" s="1"/>
  <c r="AQ103" i="8"/>
  <c r="AQ104" i="8" l="1"/>
  <c r="AP105" i="8"/>
  <c r="AR105" i="8" s="1"/>
  <c r="AQ105" i="8" l="1"/>
  <c r="AP106" i="8"/>
  <c r="AR106" i="8" s="1"/>
  <c r="AQ106" i="8" l="1"/>
  <c r="AP107" i="8"/>
  <c r="AR107" i="8" s="1"/>
  <c r="AP108" i="8" l="1"/>
  <c r="AR108" i="8" s="1"/>
  <c r="AQ107" i="8"/>
  <c r="AP109" i="8" l="1"/>
  <c r="AR109" i="8" s="1"/>
  <c r="AQ108" i="8"/>
  <c r="AP110" i="8" l="1"/>
  <c r="AR110" i="8" s="1"/>
  <c r="AQ109" i="8"/>
  <c r="AQ110" i="8" l="1"/>
  <c r="AP111" i="8"/>
  <c r="AR111" i="8" s="1"/>
  <c r="AP112" i="8" l="1"/>
  <c r="AR112" i="8" s="1"/>
  <c r="AQ111" i="8"/>
  <c r="AQ112" i="8" l="1"/>
  <c r="AP113" i="8"/>
  <c r="AR113" i="8" s="1"/>
  <c r="AQ113" i="8" l="1"/>
  <c r="AP114" i="8"/>
  <c r="AR114" i="8" s="1"/>
  <c r="AQ114" i="8" l="1"/>
  <c r="AP115" i="8"/>
  <c r="AR115" i="8" s="1"/>
  <c r="AQ115" i="8" l="1"/>
  <c r="AP116" i="8"/>
  <c r="AR116" i="8" s="1"/>
  <c r="AP117" i="8" l="1"/>
  <c r="AR117" i="8" s="1"/>
  <c r="AQ116" i="8"/>
  <c r="AQ117" i="8" l="1"/>
  <c r="AP118" i="8"/>
  <c r="AR118" i="8" s="1"/>
  <c r="AQ118" i="8" l="1"/>
  <c r="AP119" i="8"/>
  <c r="AR119" i="8" s="1"/>
  <c r="AP120" i="8" l="1"/>
  <c r="AR120" i="8" s="1"/>
  <c r="AQ119" i="8"/>
  <c r="AQ120" i="8" l="1"/>
  <c r="AP121" i="8"/>
  <c r="AR121" i="8" s="1"/>
  <c r="AQ121" i="8" l="1"/>
  <c r="AP122" i="8"/>
  <c r="AR122" i="8" s="1"/>
  <c r="AQ122" i="8" l="1"/>
  <c r="AP123" i="8"/>
  <c r="AR123" i="8" s="1"/>
  <c r="AP124" i="8" l="1"/>
  <c r="AR124" i="8" s="1"/>
  <c r="AQ123" i="8"/>
  <c r="AQ124" i="8" l="1"/>
  <c r="AP125" i="8"/>
  <c r="AR125" i="8" s="1"/>
  <c r="AQ125" i="8" l="1"/>
  <c r="AP126" i="8"/>
  <c r="AR126" i="8" s="1"/>
  <c r="AQ126" i="8" l="1"/>
  <c r="AP127" i="8"/>
  <c r="AR127" i="8" s="1"/>
  <c r="AP128" i="8" l="1"/>
  <c r="AR128" i="8" s="1"/>
  <c r="AQ127" i="8"/>
  <c r="AP129" i="8" l="1"/>
  <c r="AR129" i="8" s="1"/>
  <c r="AQ128" i="8"/>
  <c r="AP130" i="8" l="1"/>
  <c r="AR130" i="8" s="1"/>
  <c r="AQ129" i="8"/>
  <c r="AQ130" i="8" l="1"/>
  <c r="AP131" i="8"/>
  <c r="AR131" i="8" s="1"/>
  <c r="AP132" i="8" l="1"/>
  <c r="AR132" i="8" s="1"/>
  <c r="AQ131" i="8"/>
  <c r="AP133" i="8" l="1"/>
  <c r="AQ132" i="8"/>
  <c r="AR133" i="8" l="1"/>
  <c r="AP134" i="8"/>
  <c r="AR134" i="8" s="1"/>
  <c r="AQ133" i="8"/>
  <c r="AQ134" i="8" l="1"/>
  <c r="AP135" i="8"/>
  <c r="AR135" i="8" s="1"/>
  <c r="AP136" i="8" l="1"/>
  <c r="AR136" i="8" s="1"/>
  <c r="AQ135" i="8"/>
  <c r="AP137" i="8" l="1"/>
  <c r="AR137" i="8" s="1"/>
  <c r="AQ136" i="8"/>
  <c r="AQ137" i="8" l="1"/>
  <c r="AP138" i="8"/>
  <c r="AR138" i="8" s="1"/>
  <c r="AQ138" i="8" l="1"/>
  <c r="AP139" i="8"/>
  <c r="AR139" i="8" s="1"/>
  <c r="AP140" i="8" l="1"/>
  <c r="AR140" i="8" s="1"/>
  <c r="AQ139" i="8"/>
  <c r="AQ140" i="8" l="1"/>
  <c r="AP141" i="8"/>
  <c r="AR141" i="8" s="1"/>
  <c r="AQ141" i="8" l="1"/>
  <c r="AP142" i="8"/>
  <c r="AR142" i="8" s="1"/>
  <c r="AQ142" i="8" l="1"/>
  <c r="AP143" i="8"/>
  <c r="AR143" i="8" s="1"/>
  <c r="AP144" i="8" l="1"/>
  <c r="AR144" i="8" s="1"/>
  <c r="AQ143" i="8"/>
  <c r="AP145" i="8" l="1"/>
  <c r="AR145" i="8" s="1"/>
  <c r="AQ144" i="8"/>
  <c r="AQ145" i="8" l="1"/>
  <c r="AP146" i="8"/>
  <c r="AR146" i="8" s="1"/>
  <c r="AQ146" i="8" l="1"/>
  <c r="AP147" i="8"/>
  <c r="AR147" i="8" s="1"/>
  <c r="AQ147" i="8" l="1"/>
  <c r="AP148" i="8"/>
  <c r="AR148" i="8" s="1"/>
  <c r="AQ148" i="8" l="1"/>
  <c r="AP149" i="8"/>
  <c r="AR149" i="8" s="1"/>
  <c r="AQ149" i="8" l="1"/>
  <c r="AP150" i="8"/>
  <c r="AR150" i="8" s="1"/>
  <c r="AQ150" i="8" l="1"/>
  <c r="AP151" i="8"/>
  <c r="AR151" i="8" s="1"/>
  <c r="AP152" i="8" l="1"/>
  <c r="AR152" i="8" s="1"/>
  <c r="AQ151" i="8"/>
  <c r="AQ152" i="8" l="1"/>
  <c r="AP153" i="8"/>
  <c r="AR153" i="8" s="1"/>
  <c r="AP154" i="8" l="1"/>
  <c r="AR154" i="8" s="1"/>
  <c r="AQ153" i="8"/>
  <c r="AP155" i="8" l="1"/>
  <c r="AQ154" i="8"/>
  <c r="AQ155" i="8" l="1"/>
  <c r="AR155" i="8"/>
</calcChain>
</file>

<file path=xl/comments1.xml><?xml version="1.0" encoding="utf-8"?>
<comments xmlns="http://schemas.openxmlformats.org/spreadsheetml/2006/main">
  <authors>
    <author>Liam Standing (P150310)</author>
  </authors>
  <commentList>
    <comment ref="K30" authorId="0" shapeId="0">
      <text>
        <r>
          <rPr>
            <sz val="18"/>
            <color indexed="81"/>
            <rFont val="Gill Sans MT"/>
            <family val="2"/>
            <scheme val="minor"/>
          </rPr>
          <t>Total track Length (m)</t>
        </r>
      </text>
    </comment>
    <comment ref="N32" authorId="0" shapeId="0">
      <text>
        <r>
          <rPr>
            <b/>
            <sz val="16"/>
            <color indexed="81"/>
            <rFont val="Tahoma"/>
            <family val="2"/>
          </rPr>
          <t xml:space="preserve">Sanity Check that the total height climbed and decended equals 0 to show the buggy ends the track at the same point it started. </t>
        </r>
      </text>
    </comment>
  </commentList>
</comments>
</file>

<file path=xl/comments2.xml><?xml version="1.0" encoding="utf-8"?>
<comments xmlns="http://schemas.openxmlformats.org/spreadsheetml/2006/main">
  <authors>
    <author>Liam Standing (P150310)</author>
  </authors>
  <commentList>
    <comment ref="K30" authorId="0" shapeId="0">
      <text>
        <r>
          <rPr>
            <sz val="18"/>
            <color indexed="81"/>
            <rFont val="Gill Sans MT"/>
            <family val="2"/>
            <scheme val="minor"/>
          </rPr>
          <t>Total track Length (m)</t>
        </r>
      </text>
    </comment>
    <comment ref="N32" authorId="0" shapeId="0">
      <text>
        <r>
          <rPr>
            <b/>
            <sz val="16"/>
            <color indexed="81"/>
            <rFont val="Tahoma"/>
            <family val="2"/>
          </rPr>
          <t xml:space="preserve">Sanity Check that the total height climbed and decended equals 0 to show the buggy ends the track at the same point it started. </t>
        </r>
      </text>
    </comment>
  </commentList>
</comments>
</file>

<file path=xl/comments3.xml><?xml version="1.0" encoding="utf-8"?>
<comments xmlns="http://schemas.openxmlformats.org/spreadsheetml/2006/main">
  <authors>
    <author>User</author>
  </authors>
  <commentList>
    <comment ref="BA19" authorId="0" shapeId="0">
      <text>
        <r>
          <rPr>
            <b/>
            <sz val="12"/>
            <color indexed="81"/>
            <rFont val="Tahoma"/>
            <family val="2"/>
          </rPr>
          <t>Liam:</t>
        </r>
        <r>
          <rPr>
            <sz val="12"/>
            <color indexed="81"/>
            <rFont val="Tahoma"/>
            <family val="2"/>
          </rPr>
          <t xml:space="preserve">
wet weight assuming oil required is 6-12 liters at 800g per liter. </t>
        </r>
      </text>
    </comment>
  </commentList>
</comments>
</file>

<file path=xl/sharedStrings.xml><?xml version="1.0" encoding="utf-8"?>
<sst xmlns="http://schemas.openxmlformats.org/spreadsheetml/2006/main" count="874" uniqueCount="316">
  <si>
    <t xml:space="preserve">Sections of track </t>
  </si>
  <si>
    <t xml:space="preserve">1 to 2 </t>
  </si>
  <si>
    <t>0 to 1</t>
  </si>
  <si>
    <t>2 to 3</t>
  </si>
  <si>
    <t>3 to 4</t>
  </si>
  <si>
    <t>4 to 5</t>
  </si>
  <si>
    <t>5 to 6</t>
  </si>
  <si>
    <t>6 to 7</t>
  </si>
  <si>
    <t>7 to 8</t>
  </si>
  <si>
    <t>8 to 9</t>
  </si>
  <si>
    <t>9 to 10</t>
  </si>
  <si>
    <t>10 to 11</t>
  </si>
  <si>
    <t xml:space="preserve">11 to 12 </t>
  </si>
  <si>
    <t>12 to 13</t>
  </si>
  <si>
    <t xml:space="preserve">13 to 14 </t>
  </si>
  <si>
    <t xml:space="preserve">14 to 15 </t>
  </si>
  <si>
    <t xml:space="preserve">15 to 16 </t>
  </si>
  <si>
    <t>16 to 17</t>
  </si>
  <si>
    <t>17 to 18</t>
  </si>
  <si>
    <t xml:space="preserve">18 to 19 </t>
  </si>
  <si>
    <t>19 to 20</t>
  </si>
  <si>
    <t xml:space="preserve">20 to 21 </t>
  </si>
  <si>
    <t xml:space="preserve">21 to 22 </t>
  </si>
  <si>
    <t>22 to 23</t>
  </si>
  <si>
    <t xml:space="preserve">23 to 24 </t>
  </si>
  <si>
    <t xml:space="preserve">24 to 25 </t>
  </si>
  <si>
    <t>25 to 0</t>
  </si>
  <si>
    <t>Distance (m)</t>
  </si>
  <si>
    <t>Elevation change (m)</t>
  </si>
  <si>
    <t xml:space="preserve">Start </t>
  </si>
  <si>
    <t>straight uphill</t>
  </si>
  <si>
    <t>hairpin downhill</t>
  </si>
  <si>
    <t xml:space="preserve">straighten up downhill </t>
  </si>
  <si>
    <t xml:space="preserve">slowing for low drop downhill </t>
  </si>
  <si>
    <t xml:space="preserve">start low drop to middle downhill </t>
  </si>
  <si>
    <t>middle low drop to end (up hill out of drop to return to hill gradient)</t>
  </si>
  <si>
    <t xml:space="preserve">straight downhill </t>
  </si>
  <si>
    <t xml:space="preserve">straight downhill slowing for corner </t>
  </si>
  <si>
    <t xml:space="preserve">straight uphill </t>
  </si>
  <si>
    <t xml:space="preserve">hairpin from down to uphill </t>
  </si>
  <si>
    <t xml:space="preserve">speed change for small jump uphill </t>
  </si>
  <si>
    <t xml:space="preserve">starting small jump uphill </t>
  </si>
  <si>
    <t xml:space="preserve">ending small jump uphill </t>
  </si>
  <si>
    <t xml:space="preserve">steady hairpin downhill </t>
  </si>
  <si>
    <t>straight downhill</t>
  </si>
  <si>
    <t xml:space="preserve">prepare big jump downhill </t>
  </si>
  <si>
    <t xml:space="preserve">starting jump to middle midair downhill </t>
  </si>
  <si>
    <t xml:space="preserve">middle jump to end downhill </t>
  </si>
  <si>
    <t xml:space="preserve">car in contact with ground </t>
  </si>
  <si>
    <t xml:space="preserve">downhill small corner </t>
  </si>
  <si>
    <t xml:space="preserve">long straight uphill </t>
  </si>
  <si>
    <t xml:space="preserve">finish line. </t>
  </si>
  <si>
    <t>(-1+ -0.5)</t>
  </si>
  <si>
    <t>(-0.5 +0.5)</t>
  </si>
  <si>
    <t>(-0.7+0.7)</t>
  </si>
  <si>
    <t>(0.3+0.5)</t>
  </si>
  <si>
    <t>(+0.6-2.0)</t>
  </si>
  <si>
    <t>(-1.5+2.6)</t>
  </si>
  <si>
    <r>
      <t>Gradiant (</t>
    </r>
    <r>
      <rPr>
        <sz val="11"/>
        <color theme="1"/>
        <rFont val="Calibri"/>
        <family val="2"/>
      </rPr>
      <t>°</t>
    </r>
    <r>
      <rPr>
        <sz val="11"/>
        <color theme="1"/>
        <rFont val="Gill Sans MT"/>
        <family val="2"/>
        <scheme val="minor"/>
      </rPr>
      <t>)</t>
    </r>
  </si>
  <si>
    <t xml:space="preserve">track length  </t>
  </si>
  <si>
    <t xml:space="preserve">sanity check </t>
  </si>
  <si>
    <t xml:space="preserve">Track length </t>
  </si>
  <si>
    <t xml:space="preserve">Track information </t>
  </si>
  <si>
    <t xml:space="preserve">Buggy information </t>
  </si>
  <si>
    <t xml:space="preserve">719 m </t>
  </si>
  <si>
    <t xml:space="preserve">Max Kw output </t>
  </si>
  <si>
    <t xml:space="preserve">Rolling radius </t>
  </si>
  <si>
    <t>Kawasaki 1352cc 4 Stroke 16V 200hp (ZZR1400) 6 Speed</t>
  </si>
  <si>
    <t>Quaife Forward &amp; Reverse Gearbox with Automatic Torque Biasing Differential</t>
  </si>
  <si>
    <t>https://ragemotorsport.com/shop/custom.asp?cpid=custom62</t>
  </si>
  <si>
    <t xml:space="preserve">Reference </t>
  </si>
  <si>
    <t>Transmission (1)</t>
  </si>
  <si>
    <t>Lightweight Aluminium, Pro Race 1.2, 18 x 8</t>
  </si>
  <si>
    <t>Toyo Proxes T1-R 225/40 R18</t>
  </si>
  <si>
    <t>Wheels (1)</t>
  </si>
  <si>
    <t>Tyres (1)</t>
  </si>
  <si>
    <t>2600mm</t>
  </si>
  <si>
    <t>1820mm</t>
  </si>
  <si>
    <t>1350mm</t>
  </si>
  <si>
    <t>Length (1)</t>
  </si>
  <si>
    <t>Width (1)</t>
  </si>
  <si>
    <t>Height (1)</t>
  </si>
  <si>
    <t>Tyre pressure front (2)</t>
  </si>
  <si>
    <t>Tyre pressure rear (2)</t>
  </si>
  <si>
    <t>10psi (Offroad), 20 (Tarmac)</t>
  </si>
  <si>
    <t>5psi (Offroad),  18psi (Tarmac)</t>
  </si>
  <si>
    <t>https://ragemotorsport.com/CLI/RMS001/Images/Rage%20Comet%20R%20UJ%20980pix%20001.jpg</t>
  </si>
  <si>
    <t>http://www.ragemotorsport.com/cli/RMS001/PDF/2012_ZX14R_Service_Manual.pdf</t>
  </si>
  <si>
    <t>http://www.ragemotorsport.com/cli/RMS001/PDF/Rage%20Comet%20Comet%20R%20Maintenance%20Guide.pdf</t>
  </si>
  <si>
    <t>Engine (1) (4)</t>
  </si>
  <si>
    <t>Cd (assumption)</t>
  </si>
  <si>
    <r>
      <t xml:space="preserve">2.00m (tyre size gives diameter of 0.6372m and </t>
    </r>
    <r>
      <rPr>
        <sz val="11"/>
        <color theme="1"/>
        <rFont val="Calibri"/>
        <family val="2"/>
      </rPr>
      <t>πD= circumference)</t>
    </r>
  </si>
  <si>
    <t>53.6448 m/s (120mph)</t>
  </si>
  <si>
    <t>Top speed (1)</t>
  </si>
  <si>
    <t xml:space="preserve">Section description. </t>
  </si>
  <si>
    <t>Theory of ground vehicles, 2nd ed., J.Y. Wong, 1993, p. 17</t>
  </si>
  <si>
    <r>
      <t>Δ in Gradiant</t>
    </r>
    <r>
      <rPr>
        <sz val="12.65"/>
        <color theme="1"/>
        <rFont val="Calibri"/>
        <family val="2"/>
      </rPr>
      <t xml:space="preserve"> </t>
    </r>
  </si>
  <si>
    <t>7.664m/s²</t>
  </si>
  <si>
    <t xml:space="preserve">Acceleration </t>
  </si>
  <si>
    <t>Velocity (m/s)</t>
  </si>
  <si>
    <r>
      <t xml:space="preserve">Air density/ </t>
    </r>
    <r>
      <rPr>
        <sz val="11"/>
        <color theme="1"/>
        <rFont val="Calibri"/>
        <family val="2"/>
      </rPr>
      <t>ρ (kg/m²)</t>
    </r>
  </si>
  <si>
    <t>Frontal area (3) (m²)</t>
  </si>
  <si>
    <t>Rolling Drag (N)</t>
  </si>
  <si>
    <t>Gravity (m/s²)</t>
  </si>
  <si>
    <t>Weight (1) (kg (dry))</t>
  </si>
  <si>
    <t>Height up hill (m)</t>
  </si>
  <si>
    <t>Velocity (Mph)</t>
  </si>
  <si>
    <t>Time in each section (s)</t>
  </si>
  <si>
    <t xml:space="preserve">Track time. </t>
  </si>
  <si>
    <t>Accumative time per section (s)</t>
  </si>
  <si>
    <t>Current sector</t>
  </si>
  <si>
    <t>Acclerator on/ off (1 / 0)</t>
  </si>
  <si>
    <t>Gearbox (1)</t>
  </si>
  <si>
    <t>QBM5M</t>
  </si>
  <si>
    <t>https://quaife.co.uk/downloads/Quaife-Catalogue2018.pdf</t>
  </si>
  <si>
    <t>Rolling resistance coefficient (5)</t>
  </si>
  <si>
    <t>Hello,</t>
  </si>
  <si>
    <t>I'm a automotive engineering student currently working on a assignment based on the duty cycle of a off road vehicle. The vehicle I have selected for my assignment is the "Rage Comet 'R'buggy".</t>
  </si>
  <si>
    <t xml:space="preserve">I am contacting you today in the hope that you could provide me with some information to aid my assignment. </t>
  </si>
  <si>
    <t>The information I Would like to know:</t>
  </si>
  <si>
    <t xml:space="preserve">Gear ratios and differential ratio, the cross-sectional frontal area of the buggy (either with road tyres or off road tyres). In addition would it be possible to find out the weight difference between the tarmac tyres and off road tyres. </t>
  </si>
  <si>
    <t xml:space="preserve">If any of this information can be supplied it could be greatly appreciated. Thanks in advance for taking the time to read this email. If you would like to know more information about my assignment or if you have any  questions I would be happy to answer them. </t>
  </si>
  <si>
    <t>kind regards,</t>
  </si>
  <si>
    <t>Liam Standing (3rd year, BSc automotive engineering, UWTSD.)</t>
  </si>
  <si>
    <t xml:space="preserve"> </t>
  </si>
  <si>
    <t>Bore and stroke</t>
  </si>
  <si>
    <t>84mmx65mm</t>
  </si>
  <si>
    <t xml:space="preserve">Displacement </t>
  </si>
  <si>
    <t>1441cm3</t>
  </si>
  <si>
    <t xml:space="preserve">Compression ratio </t>
  </si>
  <si>
    <t>12.3:1</t>
  </si>
  <si>
    <t>147.2Kw (200ps) @ 10,000 rpm</t>
  </si>
  <si>
    <t>162.5 N/m @7500 rpm</t>
  </si>
  <si>
    <t xml:space="preserve">Max Torque </t>
  </si>
  <si>
    <r>
      <t xml:space="preserve">Air density/ </t>
    </r>
    <r>
      <rPr>
        <sz val="11"/>
        <color theme="1"/>
        <rFont val="Calibri"/>
        <family val="2"/>
      </rPr>
      <t>ρ (kg/m^3)</t>
    </r>
  </si>
  <si>
    <t>Weight (1) (kg) (dry)</t>
  </si>
  <si>
    <t>Remaining  Power (w)</t>
  </si>
  <si>
    <t>Total Resistive Power (W)</t>
  </si>
  <si>
    <t>Total Vehicle Resistance (N)</t>
  </si>
  <si>
    <t>Grading Resistance (N)</t>
  </si>
  <si>
    <t>Max Acceleration m/s²</t>
  </si>
  <si>
    <t>Acceleration m/s²</t>
  </si>
  <si>
    <t>Max Velocity m/s</t>
  </si>
  <si>
    <t>Aerodynamic Resistance (N)</t>
  </si>
  <si>
    <t>Make and Model</t>
  </si>
  <si>
    <t>Rage Comet R</t>
  </si>
  <si>
    <t>Weight plus driver Kg</t>
  </si>
  <si>
    <t>Drivers weight Kg</t>
  </si>
  <si>
    <t>Weight Kg (1)</t>
  </si>
  <si>
    <t>Frontal area m² (3)</t>
  </si>
  <si>
    <t xml:space="preserve">0-60mph (0-26.8224m/s) in 3 .5s </t>
  </si>
  <si>
    <t>Gradiant (°)</t>
  </si>
  <si>
    <t>2.00m (tyre size gives diameter of 0.6372m and πD= circumference)</t>
  </si>
  <si>
    <t>Acceleration (1)</t>
  </si>
  <si>
    <t>Accumative distance (m)</t>
  </si>
  <si>
    <t>Track length  (m)</t>
  </si>
  <si>
    <t xml:space="preserve">Δ in Gradiant </t>
  </si>
  <si>
    <t>Remaining  Power (W)</t>
  </si>
  <si>
    <t xml:space="preserve">Graphs </t>
  </si>
  <si>
    <t>(-1.5+2.7)</t>
  </si>
  <si>
    <t xml:space="preserve">Track Map </t>
  </si>
  <si>
    <t xml:space="preserve">Frontal Area Calculation </t>
  </si>
  <si>
    <t>Total height climbed (m)</t>
  </si>
  <si>
    <t>Total height desended (m)</t>
  </si>
  <si>
    <t>Sanity check</t>
  </si>
  <si>
    <t>Air density/ ρ (kg/m³)</t>
  </si>
  <si>
    <t>Track length = 719m</t>
  </si>
  <si>
    <t>Average power (W) =</t>
  </si>
  <si>
    <t>Max power (W) =</t>
  </si>
  <si>
    <t xml:space="preserve">Average acceleration </t>
  </si>
  <si>
    <t>Time</t>
  </si>
  <si>
    <t>Straight uphill</t>
  </si>
  <si>
    <t>Time (each section)</t>
  </si>
  <si>
    <t xml:space="preserve">Accumative Distance </t>
  </si>
  <si>
    <t xml:space="preserve">Elevation Change </t>
  </si>
  <si>
    <t xml:space="preserve">Height up hill </t>
  </si>
  <si>
    <t>Gradient (°)</t>
  </si>
  <si>
    <t>Speed  (m/s)</t>
  </si>
  <si>
    <t>Acceleration (not exceed 7.6635) M/s"2</t>
  </si>
  <si>
    <t>Distance (In section) M</t>
  </si>
  <si>
    <t>Rolling Drag N</t>
  </si>
  <si>
    <t>aerodynamic resistance N</t>
  </si>
  <si>
    <t>Acceleration resistance N</t>
  </si>
  <si>
    <t>Gradient resistance N</t>
  </si>
  <si>
    <t>Average user weight Kg</t>
  </si>
  <si>
    <t xml:space="preserve">No. of Occupants  </t>
  </si>
  <si>
    <t>Average User weight Kg</t>
  </si>
  <si>
    <t xml:space="preserve">719m </t>
  </si>
  <si>
    <t>Speed  (mph)</t>
  </si>
  <si>
    <t>Acceleration pct %</t>
  </si>
  <si>
    <t>Angle gradient</t>
  </si>
  <si>
    <t xml:space="preserve">No. of Users </t>
  </si>
  <si>
    <t>Acceleration M/s^2</t>
  </si>
  <si>
    <t>Gearbox (6)</t>
  </si>
  <si>
    <t>Differential (6)</t>
  </si>
  <si>
    <t>https://shop.quaife.co.uk/quaife-powertec-gear-drive-system</t>
  </si>
  <si>
    <t>https://www.quaife.co.uk/quaife-products/motorcycle-engined-vehicle/</t>
  </si>
  <si>
    <t>Max Acceleration pct %</t>
  </si>
  <si>
    <t xml:space="preserve">Yasa P400 R </t>
  </si>
  <si>
    <t>Mass (kg)</t>
  </si>
  <si>
    <t>Peak Efficiency (%)</t>
  </si>
  <si>
    <t>0-8000</t>
  </si>
  <si>
    <t xml:space="preserve">Speed (RPM) </t>
  </si>
  <si>
    <t>Continous Power (Kw)</t>
  </si>
  <si>
    <t>20-100</t>
  </si>
  <si>
    <t>Power Peak @700V dc (Kw)</t>
  </si>
  <si>
    <t>Continous Torque (Nm)</t>
  </si>
  <si>
    <t>Torque Peak @450 Arms (Nm)</t>
  </si>
  <si>
    <t>Motor</t>
  </si>
  <si>
    <t>225/40 R18</t>
  </si>
  <si>
    <t>Diameter (m)</t>
  </si>
  <si>
    <t>cicumference (m)</t>
  </si>
  <si>
    <t>MAX</t>
  </si>
  <si>
    <t>rpm</t>
  </si>
  <si>
    <t>torque Nm</t>
  </si>
  <si>
    <t xml:space="preserve">efficiency </t>
  </si>
  <si>
    <t xml:space="preserve">Final drive ratio </t>
  </si>
  <si>
    <t xml:space="preserve">RPM @ max speed  </t>
  </si>
  <si>
    <t xml:space="preserve">Revs @ max speed </t>
  </si>
  <si>
    <t>Max Speed (M/s)</t>
  </si>
  <si>
    <t>https://scholarsmine.mst.edu/cgi/viewcontent.cgi?article=7857&amp;context=masters_theses</t>
  </si>
  <si>
    <t>https://www.yasa.com/wp-content/uploads/2018/01/YASA_P400_Product_Sheet.pdf</t>
  </si>
  <si>
    <t xml:space="preserve">motor controller </t>
  </si>
  <si>
    <t>Yasa Si400</t>
  </si>
  <si>
    <t>Peak current (Arms)</t>
  </si>
  <si>
    <t>continuous current (Arms)</t>
  </si>
  <si>
    <t>50-400</t>
  </si>
  <si>
    <t>input voltage range (Vdc)</t>
  </si>
  <si>
    <t>mass (kg)</t>
  </si>
  <si>
    <t>https://www.yasa.com/wp-content/uploads/2019/04/YASA_Si400_Controller.pdf</t>
  </si>
  <si>
    <t>http://www.ti.com/lit/ug/tiduai7/tiduai7.pdf</t>
  </si>
  <si>
    <t xml:space="preserve">PHEV Buggy information </t>
  </si>
  <si>
    <t>Ƞt</t>
  </si>
  <si>
    <t>speed Km/h</t>
  </si>
  <si>
    <t>Fr (EQ 2.7, pg 23)</t>
  </si>
  <si>
    <t>P m/g (EQ16.28, pg 489)</t>
  </si>
  <si>
    <t>Ƞm</t>
  </si>
  <si>
    <t>Pm,max KW @6500rpm</t>
  </si>
  <si>
    <t>Pb (EQ 16.29, pg 491)</t>
  </si>
  <si>
    <t>Average Required Power (W)</t>
  </si>
  <si>
    <t>Average Power (W)</t>
  </si>
  <si>
    <t>Ppps</t>
  </si>
  <si>
    <t>Pt (EQ 7.5, pg 264)</t>
  </si>
  <si>
    <t>ig Rfd(EQ 7.12, pg 272)</t>
  </si>
  <si>
    <t xml:space="preserve">ig (EQ 7.12, pg 272) </t>
  </si>
  <si>
    <t>Ƞtm</t>
  </si>
  <si>
    <t>Ƞtb</t>
  </si>
  <si>
    <t>Ƞg</t>
  </si>
  <si>
    <t xml:space="preserve">battery supply power </t>
  </si>
  <si>
    <t xml:space="preserve">max watts </t>
  </si>
  <si>
    <t>power at wheel minus engine</t>
  </si>
  <si>
    <t>battery volts</t>
  </si>
  <si>
    <t>No of batteries</t>
  </si>
  <si>
    <t xml:space="preserve">total battery volts </t>
  </si>
  <si>
    <t>Max volts</t>
  </si>
  <si>
    <t xml:space="preserve">battery charge on engine </t>
  </si>
  <si>
    <t xml:space="preserve">regen power supply to battery </t>
  </si>
  <si>
    <t>https://yangtze-power.en.made-in-china.com/product/KjInCMQVkScB/China-Yangtze-12V-500ah-Lithium-Ion-Battery-Pack.html</t>
  </si>
  <si>
    <t>https://www.kawasaki-onlinetechinfo.net/dispeBook?file=99976-1086&amp;mark=EN500-C7&amp;manual_kind=OM&amp;lang_code=EN&amp;model_year=2002&amp;nickname=EN500&amp;dist_cd=207&amp;country_cd=--&amp;manual_filenm=99976-1086_EN_2.pdf&amp;first_referrer=https%3A%2F%2Fwww.kawasaki.co.uk%2F</t>
  </si>
  <si>
    <t xml:space="preserve">Component </t>
  </si>
  <si>
    <t xml:space="preserve">Motor controller </t>
  </si>
  <si>
    <t>Term</t>
  </si>
  <si>
    <t>Price (£)</t>
  </si>
  <si>
    <t>weight (Kg)</t>
  </si>
  <si>
    <t>Converter</t>
  </si>
  <si>
    <t>TIDA-BIDIR 400-12</t>
  </si>
  <si>
    <t>Yangtze 12V 500ah Lith Ion (x2)</t>
  </si>
  <si>
    <t xml:space="preserve">Batteries </t>
  </si>
  <si>
    <t xml:space="preserve">Replacement engine </t>
  </si>
  <si>
    <t>Tyre size (width/sidewall %, hub size inchs)</t>
  </si>
  <si>
    <t>https://www.ebay.com/itm/2001-kwasaki-vulcan-500-Running-Engine/352637981996?hash=item521adc952c:g:nycAAOSwEzxYXZes</t>
  </si>
  <si>
    <t>Kawasaki ZZR1400</t>
  </si>
  <si>
    <t xml:space="preserve">Original engine </t>
  </si>
  <si>
    <t>est</t>
  </si>
  <si>
    <t>https://www.locostbuilders.co.uk/viewthread.php?tid=187997</t>
  </si>
  <si>
    <t>.</t>
  </si>
  <si>
    <t>https://www.diyelectriccar.com/forums/showthread.php/yasa-400-motor-new-and-unused-168866.html</t>
  </si>
  <si>
    <t>https://www.ebay.co.uk/itm/Kawasaki-ZZR1400-Engine-Gen-2-Complete-Motor-Only-17k-Miles-2012-2015-000-/113943642244</t>
  </si>
  <si>
    <t>Yasa P400 R (x2)</t>
  </si>
  <si>
    <t>Original gearbox</t>
  </si>
  <si>
    <t>Quaife QBM5M</t>
  </si>
  <si>
    <t xml:space="preserve">Price Reference </t>
  </si>
  <si>
    <t xml:space="preserve">Weight Reference </t>
  </si>
  <si>
    <t>Component Reference</t>
  </si>
  <si>
    <t>n</t>
  </si>
  <si>
    <t>Average =</t>
  </si>
  <si>
    <t>Max=</t>
  </si>
  <si>
    <t>Total usage =</t>
  </si>
  <si>
    <t>Average used power =</t>
  </si>
  <si>
    <t xml:space="preserve">Time slots </t>
  </si>
  <si>
    <t>QBA3R</t>
  </si>
  <si>
    <t>resistive power -gain</t>
  </si>
  <si>
    <t>Gain</t>
  </si>
  <si>
    <t xml:space="preserve">manual adjustment to avoid looping calculation error. </t>
  </si>
  <si>
    <t xml:space="preserve">ABS Resistive Power (W) </t>
  </si>
  <si>
    <t xml:space="preserve">Engine on </t>
  </si>
  <si>
    <t>SOC % (24V)</t>
  </si>
  <si>
    <t>SOC (24V)</t>
  </si>
  <si>
    <t xml:space="preserve">engine KW suppy @92%efficiency </t>
  </si>
  <si>
    <t>Pe/g KW @6500rpm</t>
  </si>
  <si>
    <t xml:space="preserve">Engine supply Power (W) </t>
  </si>
  <si>
    <t>Battery Power at wheels (W)</t>
  </si>
  <si>
    <t>20 Kawasaki EN500</t>
  </si>
  <si>
    <t>Yasa 2018</t>
  </si>
  <si>
    <t>Yasa 2019</t>
  </si>
  <si>
    <t>Texas instrumentation, 2015</t>
  </si>
  <si>
    <t xml:space="preserve">Yangtze,2020 </t>
  </si>
  <si>
    <t>Quaife, 2018</t>
  </si>
  <si>
    <t>2019 Kawasaki Ninja 650l</t>
  </si>
  <si>
    <t>Kawasaki 2019</t>
  </si>
  <si>
    <t>Kawasaki 2012</t>
  </si>
  <si>
    <t>EST</t>
  </si>
  <si>
    <t>DIYElectricCar, 2016</t>
  </si>
  <si>
    <t>LOCOSTBUIDERS, 2014</t>
  </si>
  <si>
    <t>Yasa Si400 (x2)</t>
  </si>
  <si>
    <t>Make &amp; Model (No.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</si>
</sst>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Gill Sans MT"/>
      <family val="2"/>
      <scheme val="minor"/>
    </font>
    <font>
      <sz val="11"/>
      <color theme="1"/>
      <name val="Calibri"/>
      <family val="2"/>
    </font>
    <font>
      <sz val="11"/>
      <name val="Gill Sans MT"/>
      <family val="2"/>
      <scheme val="minor"/>
    </font>
    <font>
      <sz val="11"/>
      <color rgb="FFFF0000"/>
      <name val="Gill Sans MT"/>
      <family val="2"/>
      <scheme val="minor"/>
    </font>
    <font>
      <u/>
      <sz val="11"/>
      <color theme="10"/>
      <name val="Gill Sans MT"/>
      <family val="2"/>
      <scheme val="minor"/>
    </font>
    <font>
      <sz val="12.65"/>
      <color theme="1"/>
      <name val="Calibri"/>
      <family val="2"/>
    </font>
    <font>
      <sz val="11"/>
      <color theme="1"/>
      <name val="Arial"/>
      <family val="2"/>
    </font>
    <font>
      <sz val="14"/>
      <color theme="1"/>
      <name val="Arial"/>
      <family val="2"/>
    </font>
    <font>
      <sz val="16"/>
      <name val="Arial"/>
      <family val="2"/>
    </font>
    <font>
      <sz val="16"/>
      <color theme="1"/>
      <name val="Arial"/>
      <family val="2"/>
    </font>
    <font>
      <sz val="14"/>
      <color rgb="FFFF0000"/>
      <name val="Arial"/>
      <family val="2"/>
    </font>
    <font>
      <u/>
      <sz val="14"/>
      <color theme="10"/>
      <name val="Arial"/>
      <family val="2"/>
    </font>
    <font>
      <b/>
      <sz val="16"/>
      <color indexed="81"/>
      <name val="Tahoma"/>
      <family val="2"/>
    </font>
    <font>
      <sz val="18"/>
      <color indexed="81"/>
      <name val="Gill Sans MT"/>
      <family val="2"/>
      <scheme val="minor"/>
    </font>
    <font>
      <sz val="14"/>
      <name val="Arial"/>
      <family val="2"/>
    </font>
    <font>
      <sz val="14"/>
      <color theme="4"/>
      <name val="Arial"/>
      <family val="2"/>
    </font>
    <font>
      <sz val="14"/>
      <color rgb="FF00B050"/>
      <name val="Arial"/>
      <family val="2"/>
    </font>
    <font>
      <b/>
      <sz val="12"/>
      <color indexed="81"/>
      <name val="Tahoma"/>
      <family val="2"/>
    </font>
    <font>
      <sz val="12"/>
      <color indexed="81"/>
      <name val="Tahoma"/>
      <family val="2"/>
    </font>
    <font>
      <sz val="18"/>
      <color theme="1"/>
      <name val="Arial"/>
      <family val="2"/>
    </font>
    <font>
      <sz val="11"/>
      <color rgb="FFFF0000"/>
      <name val="Arial"/>
      <family val="2"/>
    </font>
  </fonts>
  <fills count="22">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rgb="FFFFB15B"/>
        <bgColor indexed="64"/>
      </patternFill>
    </fill>
    <fill>
      <gradientFill degree="180">
        <stop position="0">
          <color theme="5" tint="0.40000610370189521"/>
        </stop>
        <stop position="1">
          <color theme="4" tint="0.80001220740379042"/>
        </stop>
      </gradientFill>
    </fill>
    <fill>
      <gradientFill>
        <stop position="0">
          <color theme="4" tint="0.80001220740379042"/>
        </stop>
        <stop position="1">
          <color theme="6" tint="0.40000610370189521"/>
        </stop>
      </gradientFill>
    </fill>
    <fill>
      <gradientFill>
        <stop position="0">
          <color theme="4" tint="0.80001220740379042"/>
        </stop>
        <stop position="1">
          <color rgb="FFFFB15B"/>
        </stop>
      </gradientFill>
    </fill>
    <fill>
      <patternFill patternType="solid">
        <fgColor theme="5" tint="0.79998168889431442"/>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00B0F0"/>
        <bgColor indexed="64"/>
      </patternFill>
    </fill>
    <fill>
      <patternFill patternType="solid">
        <fgColor rgb="FF9FF4FF"/>
        <bgColor indexed="64"/>
      </patternFill>
    </fill>
    <fill>
      <patternFill patternType="solid">
        <fgColor rgb="FFFF8B8B"/>
        <bgColor indexed="64"/>
      </patternFill>
    </fill>
    <fill>
      <patternFill patternType="solid">
        <fgColor rgb="FF92D05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diagonal/>
    </border>
  </borders>
  <cellStyleXfs count="2">
    <xf numFmtId="0" fontId="0" fillId="0" borderId="0"/>
    <xf numFmtId="0" fontId="4" fillId="0" borderId="0" applyNumberFormat="0" applyFill="0" applyBorder="0" applyAlignment="0" applyProtection="0"/>
  </cellStyleXfs>
  <cellXfs count="172">
    <xf numFmtId="0" fontId="0" fillId="0" borderId="0" xfId="0"/>
    <xf numFmtId="0" fontId="0" fillId="0" borderId="0" xfId="0" applyAlignment="1">
      <alignment horizontal="center"/>
    </xf>
    <xf numFmtId="0" fontId="2" fillId="5" borderId="1" xfId="0" applyFont="1" applyFill="1" applyBorder="1"/>
    <xf numFmtId="0" fontId="2" fillId="5" borderId="1" xfId="0" applyFont="1" applyFill="1" applyBorder="1" applyAlignment="1">
      <alignment horizontal="center"/>
    </xf>
    <xf numFmtId="0" fontId="0" fillId="5" borderId="1" xfId="0" applyFill="1" applyBorder="1"/>
    <xf numFmtId="0" fontId="0" fillId="6" borderId="1" xfId="0" applyFill="1" applyBorder="1"/>
    <xf numFmtId="0" fontId="0" fillId="6" borderId="1" xfId="0"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left"/>
    </xf>
    <xf numFmtId="0" fontId="4" fillId="6" borderId="1" xfId="1" applyFill="1" applyBorder="1" applyAlignment="1">
      <alignment horizontal="left"/>
    </xf>
    <xf numFmtId="0" fontId="0" fillId="6" borderId="1" xfId="0" applyFill="1" applyBorder="1" applyAlignment="1">
      <alignment horizontal="left" vertical="top"/>
    </xf>
    <xf numFmtId="0" fontId="0" fillId="6" borderId="1" xfId="0" applyFill="1" applyBorder="1" applyAlignment="1">
      <alignment horizontal="left" wrapText="1"/>
    </xf>
    <xf numFmtId="0" fontId="0" fillId="0" borderId="3" xfId="0" applyBorder="1"/>
    <xf numFmtId="0" fontId="0" fillId="0" borderId="1" xfId="0" applyBorder="1"/>
    <xf numFmtId="0" fontId="0" fillId="0" borderId="1" xfId="0" applyBorder="1" applyAlignment="1">
      <alignment horizontal="center"/>
    </xf>
    <xf numFmtId="16" fontId="0" fillId="0" borderId="1" xfId="0" applyNumberFormat="1" applyBorder="1" applyAlignment="1">
      <alignment horizontal="center"/>
    </xf>
    <xf numFmtId="0" fontId="0" fillId="2" borderId="1" xfId="0" applyFill="1" applyBorder="1" applyAlignment="1">
      <alignment horizontal="center"/>
    </xf>
    <xf numFmtId="0" fontId="0" fillId="2" borderId="1" xfId="0" applyFill="1" applyBorder="1"/>
    <xf numFmtId="0" fontId="0" fillId="3" borderId="1" xfId="0" applyFill="1" applyBorder="1" applyAlignment="1">
      <alignment horizontal="center"/>
    </xf>
    <xf numFmtId="0" fontId="0" fillId="3" borderId="1" xfId="0" applyFill="1" applyBorder="1"/>
    <xf numFmtId="0" fontId="0" fillId="4" borderId="1" xfId="0" applyFill="1" applyBorder="1" applyAlignment="1">
      <alignment horizontal="center"/>
    </xf>
    <xf numFmtId="0" fontId="0" fillId="4" borderId="1" xfId="0" applyFill="1" applyBorder="1"/>
    <xf numFmtId="0" fontId="0" fillId="0" borderId="1" xfId="0" applyFill="1" applyBorder="1"/>
    <xf numFmtId="0" fontId="0" fillId="7" borderId="1" xfId="0" applyFill="1" applyBorder="1"/>
    <xf numFmtId="0" fontId="0" fillId="7" borderId="1" xfId="0" applyFill="1" applyBorder="1" applyAlignment="1">
      <alignment horizontal="center"/>
    </xf>
    <xf numFmtId="0" fontId="1" fillId="7" borderId="1" xfId="0" applyFont="1" applyFill="1" applyBorder="1"/>
    <xf numFmtId="0" fontId="0" fillId="0" borderId="0" xfId="0" applyBorder="1"/>
    <xf numFmtId="0" fontId="3" fillId="3" borderId="1" xfId="0" applyFont="1" applyFill="1" applyBorder="1"/>
    <xf numFmtId="0" fontId="3" fillId="4" borderId="1" xfId="0" applyFont="1" applyFill="1" applyBorder="1"/>
    <xf numFmtId="0" fontId="0" fillId="0" borderId="2" xfId="0" applyFill="1" applyBorder="1"/>
    <xf numFmtId="0" fontId="0" fillId="0" borderId="0" xfId="0" applyFill="1" applyBorder="1"/>
    <xf numFmtId="0" fontId="4" fillId="6" borderId="1" xfId="1" applyFill="1" applyBorder="1"/>
    <xf numFmtId="0" fontId="2" fillId="2" borderId="1" xfId="0" applyFont="1" applyFill="1" applyBorder="1"/>
    <xf numFmtId="0" fontId="6" fillId="6" borderId="0" xfId="0" applyFont="1" applyFill="1"/>
    <xf numFmtId="0" fontId="6" fillId="6" borderId="0" xfId="0" applyFont="1" applyFill="1" applyBorder="1"/>
    <xf numFmtId="0" fontId="8" fillId="5"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5" borderId="7" xfId="0" applyFont="1" applyFill="1" applyBorder="1" applyAlignment="1">
      <alignment horizontal="center" vertical="center"/>
    </xf>
    <xf numFmtId="0" fontId="7" fillId="6" borderId="1" xfId="0" applyFont="1" applyFill="1" applyBorder="1"/>
    <xf numFmtId="0" fontId="7" fillId="6" borderId="1" xfId="0" applyFont="1" applyFill="1" applyBorder="1" applyAlignment="1">
      <alignment horizontal="center"/>
    </xf>
    <xf numFmtId="0" fontId="7" fillId="6" borderId="6" xfId="0" applyFont="1" applyFill="1" applyBorder="1"/>
    <xf numFmtId="0" fontId="7" fillId="6" borderId="2" xfId="0" applyFont="1" applyFill="1" applyBorder="1"/>
    <xf numFmtId="0" fontId="7" fillId="6" borderId="7" xfId="0" applyFont="1" applyFill="1" applyBorder="1"/>
    <xf numFmtId="0" fontId="7" fillId="6" borderId="7" xfId="0" applyFont="1" applyFill="1" applyBorder="1" applyAlignment="1">
      <alignment horizontal="center"/>
    </xf>
    <xf numFmtId="0" fontId="7" fillId="6" borderId="6" xfId="0" applyFont="1" applyFill="1" applyBorder="1" applyAlignment="1">
      <alignment horizontal="left"/>
    </xf>
    <xf numFmtId="0" fontId="7" fillId="6" borderId="2" xfId="0" applyFont="1" applyFill="1" applyBorder="1" applyAlignment="1">
      <alignment horizontal="left"/>
    </xf>
    <xf numFmtId="0" fontId="7" fillId="6" borderId="4" xfId="0" applyFont="1" applyFill="1" applyBorder="1"/>
    <xf numFmtId="0" fontId="7" fillId="6" borderId="4" xfId="0" applyFont="1" applyFill="1" applyBorder="1" applyAlignment="1">
      <alignment horizontal="center"/>
    </xf>
    <xf numFmtId="0" fontId="7" fillId="6" borderId="1" xfId="0" applyFont="1" applyFill="1" applyBorder="1" applyAlignment="1">
      <alignment horizontal="left"/>
    </xf>
    <xf numFmtId="0" fontId="7" fillId="11" borderId="7" xfId="0" applyFont="1" applyFill="1" applyBorder="1"/>
    <xf numFmtId="0" fontId="7" fillId="8" borderId="1" xfId="0" applyFont="1" applyFill="1" applyBorder="1" applyAlignment="1">
      <alignment horizontal="center"/>
    </xf>
    <xf numFmtId="0" fontId="7" fillId="6" borderId="6" xfId="0" applyFont="1" applyFill="1" applyBorder="1" applyAlignment="1">
      <alignment horizontal="left" wrapText="1"/>
    </xf>
    <xf numFmtId="0" fontId="7" fillId="6" borderId="6" xfId="0" applyFont="1" applyFill="1" applyBorder="1" applyAlignment="1">
      <alignment horizontal="left" vertical="top"/>
    </xf>
    <xf numFmtId="0" fontId="7" fillId="13" borderId="7" xfId="0" applyFont="1" applyFill="1" applyBorder="1"/>
    <xf numFmtId="0" fontId="7" fillId="10" borderId="1" xfId="0" applyFont="1" applyFill="1" applyBorder="1" applyAlignment="1">
      <alignment horizontal="center"/>
    </xf>
    <xf numFmtId="0" fontId="7" fillId="6" borderId="8" xfId="0" applyFont="1" applyFill="1" applyBorder="1"/>
    <xf numFmtId="0" fontId="7" fillId="12" borderId="7" xfId="0" applyFont="1" applyFill="1" applyBorder="1"/>
    <xf numFmtId="0" fontId="7" fillId="9" borderId="1" xfId="0" applyFont="1" applyFill="1" applyBorder="1" applyAlignment="1">
      <alignment horizontal="center"/>
    </xf>
    <xf numFmtId="0" fontId="7" fillId="6" borderId="9" xfId="0" applyFont="1" applyFill="1" applyBorder="1" applyAlignment="1">
      <alignment horizontal="left"/>
    </xf>
    <xf numFmtId="2" fontId="7" fillId="6" borderId="7" xfId="0" applyNumberFormat="1" applyFont="1" applyFill="1" applyBorder="1"/>
    <xf numFmtId="2" fontId="10" fillId="6" borderId="7" xfId="0" applyNumberFormat="1" applyFont="1" applyFill="1" applyBorder="1"/>
    <xf numFmtId="2" fontId="7" fillId="8" borderId="1" xfId="0" applyNumberFormat="1" applyFont="1" applyFill="1" applyBorder="1"/>
    <xf numFmtId="2" fontId="10" fillId="8" borderId="1" xfId="0" applyNumberFormat="1" applyFont="1" applyFill="1" applyBorder="1"/>
    <xf numFmtId="2" fontId="7" fillId="10" borderId="1" xfId="0" applyNumberFormat="1" applyFont="1" applyFill="1" applyBorder="1"/>
    <xf numFmtId="2" fontId="10" fillId="10" borderId="1" xfId="0" applyNumberFormat="1" applyFont="1" applyFill="1" applyBorder="1"/>
    <xf numFmtId="2" fontId="7" fillId="9" borderId="1" xfId="0" applyNumberFormat="1" applyFont="1" applyFill="1" applyBorder="1"/>
    <xf numFmtId="2" fontId="10" fillId="9" borderId="1" xfId="0" applyNumberFormat="1" applyFont="1" applyFill="1" applyBorder="1"/>
    <xf numFmtId="0" fontId="7" fillId="6" borderId="5" xfId="0" applyFont="1" applyFill="1" applyBorder="1"/>
    <xf numFmtId="0" fontId="7" fillId="6" borderId="5" xfId="0" applyFont="1" applyFill="1" applyBorder="1" applyAlignment="1">
      <alignment horizontal="center"/>
    </xf>
    <xf numFmtId="0" fontId="7" fillId="6" borderId="0" xfId="0" applyFont="1" applyFill="1" applyBorder="1"/>
    <xf numFmtId="0" fontId="7" fillId="6" borderId="0" xfId="0" applyFont="1" applyFill="1" applyBorder="1" applyAlignment="1">
      <alignment horizontal="center"/>
    </xf>
    <xf numFmtId="0" fontId="7" fillId="6" borderId="0" xfId="0" applyFont="1" applyFill="1"/>
    <xf numFmtId="0" fontId="7" fillId="6" borderId="0" xfId="0" applyFont="1" applyFill="1" applyAlignment="1">
      <alignment horizontal="center"/>
    </xf>
    <xf numFmtId="0" fontId="6" fillId="6" borderId="0" xfId="0" applyFont="1" applyFill="1" applyAlignment="1">
      <alignment horizontal="center"/>
    </xf>
    <xf numFmtId="0" fontId="6" fillId="6" borderId="5" xfId="0" applyFont="1" applyFill="1" applyBorder="1" applyAlignment="1">
      <alignment horizontal="center"/>
    </xf>
    <xf numFmtId="2" fontId="7" fillId="6" borderId="0" xfId="0" applyNumberFormat="1" applyFont="1" applyFill="1"/>
    <xf numFmtId="0" fontId="9" fillId="6" borderId="0" xfId="0" applyFont="1" applyFill="1" applyAlignment="1">
      <alignment horizontal="center" vertical="center"/>
    </xf>
    <xf numFmtId="0" fontId="7" fillId="6" borderId="9" xfId="0" applyFont="1" applyFill="1" applyBorder="1"/>
    <xf numFmtId="0" fontId="11" fillId="6" borderId="1" xfId="1" applyFont="1" applyFill="1" applyBorder="1"/>
    <xf numFmtId="0" fontId="0" fillId="6" borderId="2" xfId="0" applyFill="1" applyBorder="1"/>
    <xf numFmtId="0" fontId="7" fillId="6" borderId="2" xfId="0" applyFont="1" applyFill="1" applyBorder="1" applyAlignment="1">
      <alignment horizontal="left" wrapText="1"/>
    </xf>
    <xf numFmtId="0" fontId="7" fillId="6" borderId="2" xfId="0" applyFont="1" applyFill="1" applyBorder="1" applyAlignment="1">
      <alignment horizontal="left" vertical="top"/>
    </xf>
    <xf numFmtId="0" fontId="7" fillId="6" borderId="10" xfId="0" applyFont="1" applyFill="1" applyBorder="1"/>
    <xf numFmtId="2" fontId="7" fillId="6" borderId="10" xfId="0" applyNumberFormat="1" applyFont="1" applyFill="1" applyBorder="1"/>
    <xf numFmtId="0" fontId="9" fillId="5" borderId="7"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xf>
    <xf numFmtId="0" fontId="9" fillId="0" borderId="0" xfId="0" applyFont="1" applyFill="1" applyAlignment="1">
      <alignment horizontal="center" vertical="center"/>
    </xf>
    <xf numFmtId="0" fontId="7" fillId="0" borderId="0" xfId="0" applyFont="1" applyFill="1"/>
    <xf numFmtId="2" fontId="7" fillId="6" borderId="7" xfId="0" applyNumberFormat="1" applyFont="1" applyFill="1" applyBorder="1" applyAlignment="1">
      <alignment horizontal="center"/>
    </xf>
    <xf numFmtId="0" fontId="7" fillId="5" borderId="6" xfId="0" applyFont="1" applyFill="1" applyBorder="1" applyAlignment="1">
      <alignment horizontal="center"/>
    </xf>
    <xf numFmtId="0" fontId="7" fillId="5" borderId="6" xfId="0" applyFont="1" applyFill="1" applyBorder="1"/>
    <xf numFmtId="0" fontId="7" fillId="6" borderId="11" xfId="0" applyFont="1" applyFill="1" applyBorder="1"/>
    <xf numFmtId="2" fontId="7" fillId="6" borderId="1" xfId="0" applyNumberFormat="1" applyFont="1" applyFill="1" applyBorder="1"/>
    <xf numFmtId="0" fontId="7" fillId="5" borderId="1" xfId="0" applyFont="1" applyFill="1" applyBorder="1"/>
    <xf numFmtId="0" fontId="7" fillId="5" borderId="4" xfId="0" applyFont="1" applyFill="1" applyBorder="1"/>
    <xf numFmtId="0" fontId="6" fillId="6" borderId="1" xfId="0" applyFont="1" applyFill="1" applyBorder="1"/>
    <xf numFmtId="0" fontId="7" fillId="14" borderId="1" xfId="0" applyFont="1" applyFill="1" applyBorder="1"/>
    <xf numFmtId="0" fontId="7" fillId="7" borderId="1" xfId="0" applyFont="1" applyFill="1" applyBorder="1"/>
    <xf numFmtId="2" fontId="7" fillId="15" borderId="7" xfId="0" applyNumberFormat="1" applyFont="1" applyFill="1" applyBorder="1"/>
    <xf numFmtId="2" fontId="7" fillId="15" borderId="1" xfId="0" applyNumberFormat="1" applyFont="1" applyFill="1" applyBorder="1"/>
    <xf numFmtId="2" fontId="7" fillId="6" borderId="0" xfId="0" applyNumberFormat="1" applyFont="1" applyFill="1" applyBorder="1"/>
    <xf numFmtId="2" fontId="14" fillId="15" borderId="1" xfId="0" applyNumberFormat="1" applyFont="1" applyFill="1" applyBorder="1"/>
    <xf numFmtId="2" fontId="7" fillId="14" borderId="1" xfId="0" applyNumberFormat="1" applyFont="1" applyFill="1" applyBorder="1"/>
    <xf numFmtId="0" fontId="9" fillId="6" borderId="1" xfId="0" applyFont="1" applyFill="1" applyBorder="1" applyAlignment="1">
      <alignment horizontal="center" vertical="center"/>
    </xf>
    <xf numFmtId="0" fontId="7" fillId="6" borderId="12" xfId="0" applyFont="1" applyFill="1" applyBorder="1"/>
    <xf numFmtId="0" fontId="7" fillId="6" borderId="12" xfId="0" applyFont="1" applyFill="1" applyBorder="1" applyAlignment="1">
      <alignment horizontal="left"/>
    </xf>
    <xf numFmtId="0" fontId="7" fillId="6" borderId="8" xfId="0" applyFont="1" applyFill="1" applyBorder="1" applyAlignment="1">
      <alignment horizontal="left"/>
    </xf>
    <xf numFmtId="0" fontId="7" fillId="6" borderId="7" xfId="0" applyFont="1" applyFill="1" applyBorder="1" applyAlignment="1">
      <alignment horizontal="right"/>
    </xf>
    <xf numFmtId="0" fontId="7" fillId="6" borderId="1" xfId="0" applyFont="1" applyFill="1" applyBorder="1" applyAlignment="1">
      <alignment horizontal="right"/>
    </xf>
    <xf numFmtId="0" fontId="4" fillId="0" borderId="0" xfId="1"/>
    <xf numFmtId="2" fontId="10" fillId="14" borderId="1" xfId="0" applyNumberFormat="1" applyFont="1" applyFill="1" applyBorder="1"/>
    <xf numFmtId="2" fontId="15" fillId="14" borderId="1" xfId="0" applyNumberFormat="1" applyFont="1" applyFill="1" applyBorder="1"/>
    <xf numFmtId="2" fontId="15" fillId="14" borderId="2" xfId="0" applyNumberFormat="1" applyFont="1" applyFill="1" applyBorder="1"/>
    <xf numFmtId="0" fontId="16" fillId="6" borderId="1" xfId="0" applyFont="1" applyFill="1" applyBorder="1"/>
    <xf numFmtId="0" fontId="7" fillId="16" borderId="1" xfId="0" applyFont="1" applyFill="1" applyBorder="1" applyAlignment="1">
      <alignment horizontal="center"/>
    </xf>
    <xf numFmtId="0" fontId="7" fillId="16" borderId="1" xfId="0" applyFont="1" applyFill="1" applyBorder="1" applyAlignment="1">
      <alignment horizontal="left"/>
    </xf>
    <xf numFmtId="0" fontId="0" fillId="6" borderId="0" xfId="0" applyFill="1" applyAlignment="1">
      <alignment horizontal="left"/>
    </xf>
    <xf numFmtId="0" fontId="7" fillId="6" borderId="0" xfId="0" applyFont="1" applyFill="1" applyBorder="1" applyAlignment="1">
      <alignment horizontal="left"/>
    </xf>
    <xf numFmtId="0" fontId="7" fillId="16" borderId="6" xfId="0" applyFont="1" applyFill="1" applyBorder="1" applyAlignment="1">
      <alignment horizontal="left"/>
    </xf>
    <xf numFmtId="0" fontId="7" fillId="14" borderId="1" xfId="0" applyFont="1" applyFill="1" applyBorder="1" applyAlignment="1">
      <alignment horizontal="left"/>
    </xf>
    <xf numFmtId="0" fontId="9" fillId="17" borderId="1" xfId="0" applyFont="1" applyFill="1" applyBorder="1" applyAlignment="1">
      <alignment horizontal="center" vertical="center"/>
    </xf>
    <xf numFmtId="0" fontId="7" fillId="18" borderId="0" xfId="0" applyFont="1" applyFill="1" applyBorder="1"/>
    <xf numFmtId="0" fontId="0" fillId="18" borderId="0" xfId="0" applyFill="1"/>
    <xf numFmtId="0" fontId="9" fillId="6" borderId="0" xfId="0" applyFont="1" applyFill="1" applyBorder="1" applyAlignment="1">
      <alignment horizontal="center" vertical="center"/>
    </xf>
    <xf numFmtId="0" fontId="6" fillId="18" borderId="0" xfId="0" applyFont="1" applyFill="1"/>
    <xf numFmtId="0" fontId="7" fillId="18" borderId="1" xfId="0" applyFont="1" applyFill="1" applyBorder="1"/>
    <xf numFmtId="0" fontId="0" fillId="6" borderId="0" xfId="0" applyFill="1"/>
    <xf numFmtId="0" fontId="7" fillId="16" borderId="1" xfId="0" applyFont="1" applyFill="1" applyBorder="1"/>
    <xf numFmtId="0" fontId="7" fillId="19" borderId="1" xfId="0" applyFont="1" applyFill="1" applyBorder="1"/>
    <xf numFmtId="0" fontId="14" fillId="19" borderId="1" xfId="0" applyFont="1" applyFill="1" applyBorder="1"/>
    <xf numFmtId="0" fontId="10" fillId="19" borderId="1" xfId="0" applyFont="1" applyFill="1" applyBorder="1"/>
    <xf numFmtId="0" fontId="7" fillId="17" borderId="1" xfId="0" applyFont="1" applyFill="1" applyBorder="1" applyAlignment="1">
      <alignment horizontal="center" vertical="center"/>
    </xf>
    <xf numFmtId="0" fontId="4" fillId="6" borderId="0" xfId="1" applyFill="1" applyBorder="1"/>
    <xf numFmtId="0" fontId="4" fillId="6" borderId="0" xfId="1" applyFill="1"/>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9" fillId="5" borderId="11" xfId="0" applyFont="1" applyFill="1" applyBorder="1" applyAlignment="1">
      <alignment horizontal="center" vertical="center"/>
    </xf>
    <xf numFmtId="0" fontId="7" fillId="18" borderId="4" xfId="0" applyFont="1" applyFill="1" applyBorder="1"/>
    <xf numFmtId="0" fontId="7" fillId="17" borderId="1" xfId="0" applyFont="1" applyFill="1" applyBorder="1"/>
    <xf numFmtId="0" fontId="7" fillId="17" borderId="4" xfId="0" applyFont="1" applyFill="1" applyBorder="1"/>
    <xf numFmtId="0" fontId="7" fillId="10" borderId="1" xfId="0" applyFont="1" applyFill="1" applyBorder="1"/>
    <xf numFmtId="0" fontId="7" fillId="18" borderId="1" xfId="0" applyFont="1" applyFill="1" applyBorder="1" applyAlignment="1">
      <alignment horizontal="left"/>
    </xf>
    <xf numFmtId="3" fontId="7" fillId="18" borderId="1" xfId="0" applyNumberFormat="1" applyFont="1" applyFill="1" applyBorder="1"/>
    <xf numFmtId="0" fontId="11" fillId="18" borderId="1" xfId="1" applyFont="1" applyFill="1" applyBorder="1"/>
    <xf numFmtId="3" fontId="7" fillId="20" borderId="1" xfId="0" applyNumberFormat="1" applyFont="1" applyFill="1" applyBorder="1"/>
    <xf numFmtId="0" fontId="7" fillId="20" borderId="0" xfId="0" applyFont="1" applyFill="1" applyBorder="1"/>
    <xf numFmtId="0" fontId="7" fillId="21" borderId="0" xfId="0" applyFont="1" applyFill="1" applyBorder="1"/>
    <xf numFmtId="0" fontId="7" fillId="6" borderId="13" xfId="0" applyFont="1" applyFill="1" applyBorder="1"/>
    <xf numFmtId="0" fontId="7" fillId="6" borderId="14" xfId="0" applyFont="1" applyFill="1" applyBorder="1"/>
    <xf numFmtId="0" fontId="7" fillId="6" borderId="0" xfId="0" applyFont="1" applyFill="1" applyBorder="1" applyAlignment="1">
      <alignment horizontal="right"/>
    </xf>
    <xf numFmtId="0" fontId="7" fillId="6" borderId="15" xfId="0" applyFont="1" applyFill="1" applyBorder="1"/>
    <xf numFmtId="0" fontId="7" fillId="6" borderId="16" xfId="0" applyFont="1" applyFill="1" applyBorder="1"/>
    <xf numFmtId="0" fontId="6" fillId="5" borderId="5" xfId="0" applyFont="1" applyFill="1" applyBorder="1" applyAlignment="1">
      <alignment horizontal="center" vertical="center"/>
    </xf>
    <xf numFmtId="0" fontId="6" fillId="5" borderId="17" xfId="0" applyFont="1" applyFill="1" applyBorder="1" applyAlignment="1">
      <alignment horizontal="center" vertical="center"/>
    </xf>
    <xf numFmtId="0" fontId="6" fillId="5" borderId="1" xfId="0" applyFont="1" applyFill="1" applyBorder="1" applyAlignment="1">
      <alignment horizontal="center" vertical="center"/>
    </xf>
    <xf numFmtId="0" fontId="9" fillId="17" borderId="1" xfId="0" applyFont="1" applyFill="1" applyBorder="1" applyAlignment="1">
      <alignment horizontal="center" vertical="center"/>
    </xf>
    <xf numFmtId="0" fontId="7" fillId="18" borderId="1" xfId="0" applyFont="1" applyFill="1" applyBorder="1" applyAlignment="1">
      <alignment horizontal="left" wrapText="1"/>
    </xf>
    <xf numFmtId="0" fontId="7" fillId="18" borderId="1" xfId="0" applyFont="1" applyFill="1" applyBorder="1" applyAlignment="1">
      <alignment horizontal="left" vertical="top"/>
    </xf>
    <xf numFmtId="0" fontId="20" fillId="18" borderId="0" xfId="0" applyFont="1" applyFill="1"/>
    <xf numFmtId="0" fontId="19" fillId="18" borderId="0" xfId="0" applyFont="1" applyFill="1" applyBorder="1"/>
    <xf numFmtId="3" fontId="14" fillId="18" borderId="1" xfId="0" applyNumberFormat="1" applyFont="1" applyFill="1" applyBorder="1"/>
    <xf numFmtId="0" fontId="14" fillId="18" borderId="1" xfId="0" applyFont="1" applyFill="1" applyBorder="1"/>
    <xf numFmtId="0" fontId="14" fillId="6" borderId="1" xfId="0" applyFont="1" applyFill="1" applyBorder="1"/>
    <xf numFmtId="0" fontId="14" fillId="18" borderId="1" xfId="1" applyFont="1" applyFill="1" applyBorder="1"/>
    <xf numFmtId="0" fontId="14" fillId="6" borderId="1" xfId="1" applyFont="1" applyFill="1" applyBorder="1"/>
    <xf numFmtId="3" fontId="7" fillId="21" borderId="0" xfId="0" applyNumberFormat="1" applyFont="1" applyFill="1" applyBorder="1"/>
    <xf numFmtId="0" fontId="14" fillId="6" borderId="6" xfId="1" applyFont="1" applyFill="1" applyBorder="1"/>
    <xf numFmtId="0" fontId="14" fillId="18" borderId="4" xfId="0" applyFont="1" applyFill="1" applyBorder="1"/>
    <xf numFmtId="0" fontId="14" fillId="6" borderId="11" xfId="1" applyFont="1" applyFill="1" applyBorder="1"/>
  </cellXfs>
  <cellStyles count="2">
    <cellStyle name="Hyperlink" xfId="1" builtinId="8"/>
    <cellStyle name="Normal" xfId="0" builtinId="0"/>
  </cellStyles>
  <dxfs count="20">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9FF4FF"/>
      <color rgb="FFFFB15B"/>
      <color rgb="FFFF8B8B"/>
      <color rgb="FFFF6D6D"/>
      <color rgb="FF00CC66"/>
      <color rgb="FFC251E1"/>
      <color rgb="FFD06D00"/>
      <color rgb="FFC5C24A"/>
      <color rgb="FFD9D133"/>
      <color rgb="FFEAD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Velocity</a:t>
            </a:r>
            <a:r>
              <a:rPr lang="en-GB" sz="1600" u="sng" baseline="0"/>
              <a:t> time graph </a:t>
            </a:r>
          </a:p>
        </c:rich>
      </c:tx>
      <c:layout/>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3944775511021168E-2"/>
          <c:y val="9.9541272126066699E-2"/>
          <c:w val="0.94629111492650475"/>
          <c:h val="0.75137942719804462"/>
        </c:manualLayout>
      </c:layout>
      <c:lineChart>
        <c:grouping val="standard"/>
        <c:varyColors val="0"/>
        <c:ser>
          <c:idx val="0"/>
          <c:order val="1"/>
          <c:tx>
            <c:strRef>
              <c:f>Sheet1!$T$4</c:f>
              <c:strCache>
                <c:ptCount val="1"/>
                <c:pt idx="0">
                  <c:v>Velocity (m/s)</c:v>
                </c:pt>
              </c:strCache>
            </c:strRef>
          </c:tx>
          <c:spPr>
            <a:ln w="28575" cap="rnd">
              <a:solidFill>
                <a:schemeClr val="bg2">
                  <a:lumMod val="50000"/>
                </a:schemeClr>
              </a:solidFill>
              <a:round/>
            </a:ln>
            <a:effectLst/>
          </c:spPr>
          <c:marker>
            <c:symbol val="none"/>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Sheet1!$T$5:$T$31</c:f>
              <c:numCache>
                <c:formatCode>General</c:formatCode>
                <c:ptCount val="27"/>
                <c:pt idx="0">
                  <c:v>0</c:v>
                </c:pt>
                <c:pt idx="1">
                  <c:v>17.881090746535538</c:v>
                </c:pt>
                <c:pt idx="2">
                  <c:v>15.645954403218596</c:v>
                </c:pt>
                <c:pt idx="3">
                  <c:v>8.9405453732677689</c:v>
                </c:pt>
                <c:pt idx="4">
                  <c:v>4.4702726866338844</c:v>
                </c:pt>
                <c:pt idx="5">
                  <c:v>2.2351363433169422</c:v>
                </c:pt>
                <c:pt idx="6">
                  <c:v>0.89405453732677687</c:v>
                </c:pt>
                <c:pt idx="7">
                  <c:v>1.3410818059901652</c:v>
                </c:pt>
                <c:pt idx="8">
                  <c:v>13.410818059901654</c:v>
                </c:pt>
                <c:pt idx="9">
                  <c:v>8.9405453732677689</c:v>
                </c:pt>
                <c:pt idx="10">
                  <c:v>6.7054090299508271</c:v>
                </c:pt>
                <c:pt idx="11">
                  <c:v>17.881090746535538</c:v>
                </c:pt>
                <c:pt idx="12">
                  <c:v>15.645954403218596</c:v>
                </c:pt>
                <c:pt idx="13">
                  <c:v>15.645954403218596</c:v>
                </c:pt>
                <c:pt idx="14">
                  <c:v>15.645954403218596</c:v>
                </c:pt>
                <c:pt idx="15">
                  <c:v>17.881090746535538</c:v>
                </c:pt>
                <c:pt idx="16">
                  <c:v>8.9405453732677689</c:v>
                </c:pt>
                <c:pt idx="17">
                  <c:v>11.175681716584711</c:v>
                </c:pt>
                <c:pt idx="18">
                  <c:v>15.645954403218596</c:v>
                </c:pt>
                <c:pt idx="19">
                  <c:v>17.881090746535538</c:v>
                </c:pt>
                <c:pt idx="20">
                  <c:v>17.881090746535538</c:v>
                </c:pt>
                <c:pt idx="21">
                  <c:v>17.881090746535538</c:v>
                </c:pt>
                <c:pt idx="22">
                  <c:v>17.881090746535538</c:v>
                </c:pt>
                <c:pt idx="23">
                  <c:v>11.175681716584711</c:v>
                </c:pt>
                <c:pt idx="24">
                  <c:v>13.410818059901654</c:v>
                </c:pt>
                <c:pt idx="25">
                  <c:v>17.881090746535538</c:v>
                </c:pt>
                <c:pt idx="26">
                  <c:v>17.881090746535538</c:v>
                </c:pt>
              </c:numCache>
            </c:numRef>
          </c:val>
          <c:smooth val="0"/>
          <c:extLst xmlns:c16r2="http://schemas.microsoft.com/office/drawing/2015/06/chart">
            <c:ext xmlns:c16="http://schemas.microsoft.com/office/drawing/2014/chart" uri="{C3380CC4-5D6E-409C-BE32-E72D297353CC}">
              <c16:uniqueId val="{00000000-E807-4284-B8EC-2BE09BD83D25}"/>
            </c:ext>
          </c:extLst>
        </c:ser>
        <c:ser>
          <c:idx val="2"/>
          <c:order val="2"/>
          <c:tx>
            <c:strRef>
              <c:f>Sheet1!$U$4</c:f>
              <c:strCache>
                <c:ptCount val="1"/>
                <c:pt idx="0">
                  <c:v>Max Velocity m/s</c:v>
                </c:pt>
              </c:strCache>
            </c:strRef>
          </c:tx>
          <c:spPr>
            <a:ln w="28575" cap="rnd">
              <a:solidFill>
                <a:srgbClr val="00B0F0"/>
              </a:solidFill>
              <a:round/>
            </a:ln>
            <a:effectLst/>
          </c:spPr>
          <c:marker>
            <c:symbol val="none"/>
          </c:marker>
          <c:val>
            <c:numRef>
              <c:f>Sheet1!$U$5:$U$31</c:f>
              <c:numCache>
                <c:formatCode>General</c:formatCode>
                <c:ptCount val="27"/>
                <c:pt idx="0">
                  <c:v>53.644799999999996</c:v>
                </c:pt>
                <c:pt idx="1">
                  <c:v>53.644799999999996</c:v>
                </c:pt>
                <c:pt idx="2">
                  <c:v>53.644799999999996</c:v>
                </c:pt>
                <c:pt idx="3">
                  <c:v>53.644799999999996</c:v>
                </c:pt>
                <c:pt idx="4">
                  <c:v>53.644799999999996</c:v>
                </c:pt>
                <c:pt idx="5">
                  <c:v>53.644799999999996</c:v>
                </c:pt>
                <c:pt idx="6">
                  <c:v>53.644799999999996</c:v>
                </c:pt>
                <c:pt idx="7">
                  <c:v>53.644799999999996</c:v>
                </c:pt>
                <c:pt idx="8">
                  <c:v>53.644799999999996</c:v>
                </c:pt>
                <c:pt idx="9">
                  <c:v>53.644799999999996</c:v>
                </c:pt>
                <c:pt idx="10">
                  <c:v>53.644799999999996</c:v>
                </c:pt>
                <c:pt idx="11">
                  <c:v>53.644799999999996</c:v>
                </c:pt>
                <c:pt idx="12">
                  <c:v>53.644799999999996</c:v>
                </c:pt>
                <c:pt idx="13">
                  <c:v>53.644799999999996</c:v>
                </c:pt>
                <c:pt idx="14">
                  <c:v>53.644799999999996</c:v>
                </c:pt>
                <c:pt idx="15">
                  <c:v>53.644799999999996</c:v>
                </c:pt>
                <c:pt idx="16">
                  <c:v>53.644799999999996</c:v>
                </c:pt>
                <c:pt idx="17">
                  <c:v>53.644799999999996</c:v>
                </c:pt>
                <c:pt idx="18">
                  <c:v>53.644799999999996</c:v>
                </c:pt>
                <c:pt idx="19">
                  <c:v>53.644799999999996</c:v>
                </c:pt>
                <c:pt idx="20">
                  <c:v>53.644799999999996</c:v>
                </c:pt>
                <c:pt idx="21">
                  <c:v>53.644799999999996</c:v>
                </c:pt>
                <c:pt idx="22">
                  <c:v>53.644799999999996</c:v>
                </c:pt>
                <c:pt idx="23">
                  <c:v>53.644799999999996</c:v>
                </c:pt>
                <c:pt idx="24">
                  <c:v>53.644799999999996</c:v>
                </c:pt>
                <c:pt idx="25">
                  <c:v>53.644799999999996</c:v>
                </c:pt>
                <c:pt idx="26">
                  <c:v>53.644799999999996</c:v>
                </c:pt>
              </c:numCache>
            </c:numRef>
          </c:val>
          <c:smooth val="0"/>
          <c:extLst xmlns:c16r2="http://schemas.microsoft.com/office/drawing/2015/06/chart">
            <c:ext xmlns:c16="http://schemas.microsoft.com/office/drawing/2014/chart" uri="{C3380CC4-5D6E-409C-BE32-E72D297353CC}">
              <c16:uniqueId val="{00000001-24DA-44D1-8E66-B005AD6EA11C}"/>
            </c:ext>
          </c:extLst>
        </c:ser>
        <c:dLbls>
          <c:showLegendKey val="0"/>
          <c:showVal val="0"/>
          <c:showCatName val="0"/>
          <c:showSerName val="0"/>
          <c:showPercent val="0"/>
          <c:showBubbleSize val="0"/>
        </c:dLbls>
        <c:smooth val="0"/>
        <c:axId val="402405872"/>
        <c:axId val="402406264"/>
        <c:extLst xmlns:c16r2="http://schemas.microsoft.com/office/drawing/2015/06/chart">
          <c:ext xmlns:c15="http://schemas.microsoft.com/office/drawing/2012/chart" uri="{02D57815-91ED-43cb-92C2-25804820EDAC}">
            <c15:filteredLineSeries>
              <c15:ser>
                <c:idx val="1"/>
                <c:order val="0"/>
                <c:tx>
                  <c:strRef>
                    <c:extLst xmlns:c16r2="http://schemas.microsoft.com/office/drawing/2015/06/chart">
                      <c:ext uri="{02D57815-91ED-43cb-92C2-25804820EDAC}">
                        <c15:formulaRef>
                          <c15:sqref>Sheet1!$E$25</c15:sqref>
                        </c15:formulaRef>
                      </c:ext>
                    </c:extLst>
                    <c:strCache>
                      <c:ptCount val="1"/>
                      <c:pt idx="0">
                        <c:v>Max Acceleration m/s²</c:v>
                      </c:pt>
                    </c:strCache>
                  </c:strRef>
                </c:tx>
                <c:spPr>
                  <a:ln w="28575" cap="rnd">
                    <a:solidFill>
                      <a:schemeClr val="accent2"/>
                    </a:solidFill>
                    <a:round/>
                  </a:ln>
                  <a:effectLst/>
                </c:spPr>
                <c:marker>
                  <c:symbol val="none"/>
                </c:marker>
                <c:val>
                  <c:numRef>
                    <c:extLst xmlns:c16r2="http://schemas.microsoft.com/office/drawing/2015/06/chart">
                      <c:ext uri="{02D57815-91ED-43cb-92C2-25804820EDAC}">
                        <c15:formulaRef>
                          <c15:sqref>Sheet1!$F$25</c15:sqref>
                        </c15:formulaRef>
                      </c:ext>
                    </c:extLst>
                    <c:numCache>
                      <c:formatCode>General</c:formatCode>
                      <c:ptCount val="1"/>
                      <c:pt idx="0">
                        <c:v>7.6639999999999997</c:v>
                      </c:pt>
                    </c:numCache>
                  </c:numRef>
                </c:val>
                <c:smooth val="0"/>
                <c:extLst xmlns:c16r2="http://schemas.microsoft.com/office/drawing/2015/06/chart">
                  <c:ext xmlns:c16="http://schemas.microsoft.com/office/drawing/2014/chart" uri="{C3380CC4-5D6E-409C-BE32-E72D297353CC}">
                    <c16:uniqueId val="{00000000-24DA-44D1-8E66-B005AD6EA11C}"/>
                  </c:ext>
                </c:extLst>
              </c15:ser>
            </c15:filteredLineSeries>
          </c:ext>
        </c:extLst>
      </c:lineChart>
      <c:catAx>
        <c:axId val="402405872"/>
        <c:scaling>
          <c:orientation val="minMax"/>
        </c:scaling>
        <c:delete val="0"/>
        <c:axPos val="b"/>
        <c:majorGridlines>
          <c:spPr>
            <a:ln w="9525" cap="flat" cmpd="sng" algn="ctr">
              <a:solidFill>
                <a:schemeClr val="bg1">
                  <a:lumMod val="75000"/>
                </a:schemeClr>
              </a:solidFill>
              <a:round/>
            </a:ln>
            <a:effectLst/>
          </c:spPr>
        </c:majorGridlines>
        <c:minorGridlines>
          <c:spPr>
            <a:ln w="9525" cap="flat" cmpd="sng" algn="ctr">
              <a:solidFill>
                <a:schemeClr val="bg1">
                  <a:lumMod val="75000"/>
                </a:schemeClr>
              </a:solidFill>
              <a:round/>
            </a:ln>
            <a:effectLst/>
          </c:spPr>
        </c:min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aseline="0"/>
                  <a:t>Time (s)</a:t>
                </a:r>
                <a:endParaRPr lang="en-GB" sz="1400"/>
              </a:p>
            </c:rich>
          </c:tx>
          <c:layout>
            <c:manualLayout>
              <c:xMode val="edge"/>
              <c:yMode val="edge"/>
              <c:x val="0.4903196568360409"/>
              <c:y val="0.91046728073035177"/>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406264"/>
        <c:crosses val="autoZero"/>
        <c:auto val="1"/>
        <c:lblAlgn val="ctr"/>
        <c:lblOffset val="100"/>
        <c:tickLblSkip val="1"/>
        <c:noMultiLvlLbl val="0"/>
      </c:catAx>
      <c:valAx>
        <c:axId val="402406264"/>
        <c:scaling>
          <c:orientation val="minMax"/>
          <c:max val="55"/>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bg1">
                  <a:lumMod val="75000"/>
                  <a:alpha val="0"/>
                </a:schemeClr>
              </a:solidFill>
              <a:round/>
            </a:ln>
            <a:effectLst/>
          </c:spPr>
        </c:min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Velocity</a:t>
                </a:r>
                <a:r>
                  <a:rPr lang="en-GB" sz="1400" baseline="0"/>
                  <a:t> (m/s)</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405872"/>
        <c:crosses val="autoZero"/>
        <c:crossBetween val="between"/>
        <c:majorUnit val="5"/>
      </c:valAx>
      <c:spPr>
        <a:noFill/>
        <a:ln>
          <a:noFill/>
        </a:ln>
        <a:effectLst/>
      </c:spPr>
    </c:plotArea>
    <c:legend>
      <c:legendPos val="r"/>
      <c:layout>
        <c:manualLayout>
          <c:xMode val="edge"/>
          <c:yMode val="edge"/>
          <c:x val="0.78287855987671862"/>
          <c:y val="0.23049079618228804"/>
          <c:w val="8.3691505675457453E-2"/>
          <c:h val="9.1406639993197258E-2"/>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Aerodynamic Resistance</a:t>
            </a:r>
            <a:r>
              <a:rPr lang="en-US" sz="1600" u="sng" baseline="0"/>
              <a:t> Time Graph </a:t>
            </a:r>
            <a:endParaRPr lang="en-US"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Sheet1!$AA$4</c:f>
              <c:strCache>
                <c:ptCount val="1"/>
                <c:pt idx="0">
                  <c:v>Aerodynamic Resistance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xmlns:c16r2="http://schemas.microsoft.com/office/drawing/2015/06/chart">
            <c:ext xmlns:c16="http://schemas.microsoft.com/office/drawing/2014/chart" uri="{C3380CC4-5D6E-409C-BE32-E72D297353CC}">
              <c16:uniqueId val="{00000000-5056-4596-B245-971CE40A9A8B}"/>
            </c:ext>
          </c:extLst>
        </c:ser>
        <c:dLbls>
          <c:showLegendKey val="0"/>
          <c:showVal val="0"/>
          <c:showCatName val="0"/>
          <c:showSerName val="0"/>
          <c:showPercent val="0"/>
          <c:showBubbleSize val="0"/>
        </c:dLbls>
        <c:axId val="402400776"/>
        <c:axId val="402406656"/>
      </c:scatterChart>
      <c:valAx>
        <c:axId val="40240077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49863377376727519"/>
              <c:y val="0.92051157361939684"/>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406656"/>
        <c:crosses val="autoZero"/>
        <c:crossBetween val="midCat"/>
        <c:majorUnit val="5"/>
      </c:valAx>
      <c:valAx>
        <c:axId val="4024066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Aerodynamic Resistance (N)</a:t>
                </a: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400776"/>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Rolling</a:t>
            </a:r>
            <a:r>
              <a:rPr lang="en-GB" sz="1600" u="sng" baseline="0"/>
              <a:t> Resistance Time Graph </a:t>
            </a:r>
            <a:endParaRPr lang="en-GB"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Sheet1!$AB$4</c:f>
              <c:strCache>
                <c:ptCount val="1"/>
                <c:pt idx="0">
                  <c:v>Rolling Drag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dPt>
            <c:idx val="13"/>
            <c:marker>
              <c:symbol val="circle"/>
              <c:size val="5"/>
              <c:spPr>
                <a:solidFill>
                  <a:schemeClr val="bg2">
                    <a:lumMod val="50000"/>
                  </a:schemeClr>
                </a:solidFill>
                <a:ln w="9525">
                  <a:solidFill>
                    <a:srgbClr val="FF0000"/>
                  </a:solidFill>
                </a:ln>
                <a:effectLst/>
              </c:spPr>
            </c:marker>
            <c:bubble3D val="0"/>
            <c:extLst xmlns:c16r2="http://schemas.microsoft.com/office/drawing/2015/06/chart">
              <c:ext xmlns:c16="http://schemas.microsoft.com/office/drawing/2014/chart" uri="{C3380CC4-5D6E-409C-BE32-E72D297353CC}">
                <c16:uniqueId val="{00000001-DC29-467C-B3AE-0265A55F76DC}"/>
              </c:ext>
            </c:extLst>
          </c:dPt>
          <c:dPt>
            <c:idx val="14"/>
            <c:marker>
              <c:symbol val="circle"/>
              <c:size val="5"/>
              <c:spPr>
                <a:solidFill>
                  <a:schemeClr val="bg2">
                    <a:lumMod val="50000"/>
                  </a:schemeClr>
                </a:solidFill>
                <a:ln w="9525">
                  <a:solidFill>
                    <a:srgbClr val="FF0000"/>
                  </a:solidFill>
                </a:ln>
                <a:effectLst/>
              </c:spPr>
            </c:marker>
            <c:bubble3D val="0"/>
            <c:spPr>
              <a:ln w="25400" cap="rnd">
                <a:solidFill>
                  <a:srgbClr val="FF0000"/>
                </a:solidFill>
                <a:round/>
              </a:ln>
              <a:effectLst/>
            </c:spPr>
            <c:extLst xmlns:c16r2="http://schemas.microsoft.com/office/drawing/2015/06/chart">
              <c:ext xmlns:c16="http://schemas.microsoft.com/office/drawing/2014/chart" uri="{C3380CC4-5D6E-409C-BE32-E72D297353CC}">
                <c16:uniqueId val="{00000000-DC29-467C-B3AE-0265A55F76DC}"/>
              </c:ext>
            </c:extLst>
          </c:dPt>
          <c:dPt>
            <c:idx val="20"/>
            <c:marker>
              <c:symbol val="circle"/>
              <c:size val="5"/>
              <c:spPr>
                <a:solidFill>
                  <a:schemeClr val="bg2">
                    <a:lumMod val="50000"/>
                  </a:schemeClr>
                </a:solidFill>
                <a:ln w="9525">
                  <a:solidFill>
                    <a:srgbClr val="FF0000"/>
                  </a:solidFill>
                </a:ln>
                <a:effectLst/>
              </c:spPr>
            </c:marker>
            <c:bubble3D val="0"/>
            <c:extLst xmlns:c16r2="http://schemas.microsoft.com/office/drawing/2015/06/chart">
              <c:ext xmlns:c16="http://schemas.microsoft.com/office/drawing/2014/chart" uri="{C3380CC4-5D6E-409C-BE32-E72D297353CC}">
                <c16:uniqueId val="{00000002-DC29-467C-B3AE-0265A55F76DC}"/>
              </c:ext>
            </c:extLst>
          </c:dPt>
          <c:dPt>
            <c:idx val="21"/>
            <c:marker>
              <c:symbol val="circle"/>
              <c:size val="5"/>
              <c:spPr>
                <a:solidFill>
                  <a:schemeClr val="bg2">
                    <a:lumMod val="50000"/>
                  </a:schemeClr>
                </a:solidFill>
                <a:ln w="9525">
                  <a:solidFill>
                    <a:srgbClr val="FF0000"/>
                  </a:solidFill>
                </a:ln>
                <a:effectLst/>
              </c:spPr>
            </c:marker>
            <c:bubble3D val="0"/>
            <c:spPr>
              <a:ln w="25400" cap="rnd">
                <a:solidFill>
                  <a:srgbClr val="FF0000"/>
                </a:solidFill>
                <a:round/>
              </a:ln>
              <a:effectLst/>
            </c:spPr>
            <c:extLst xmlns:c16r2="http://schemas.microsoft.com/office/drawing/2015/06/chart">
              <c:ext xmlns:c16="http://schemas.microsoft.com/office/drawing/2014/chart" uri="{C3380CC4-5D6E-409C-BE32-E72D297353CC}">
                <c16:uniqueId val="{00000003-DC29-467C-B3AE-0265A55F76DC}"/>
              </c:ext>
            </c:extLst>
          </c:dPt>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xmlns:c16r2="http://schemas.microsoft.com/office/drawing/2015/06/chart">
            <c:ext xmlns:c16="http://schemas.microsoft.com/office/drawing/2014/chart" uri="{C3380CC4-5D6E-409C-BE32-E72D297353CC}">
              <c16:uniqueId val="{00000000-0CC4-436C-BA5E-F6B2EE6ADBD7}"/>
            </c:ext>
          </c:extLst>
        </c:ser>
        <c:dLbls>
          <c:showLegendKey val="0"/>
          <c:showVal val="0"/>
          <c:showCatName val="0"/>
          <c:showSerName val="0"/>
          <c:showPercent val="0"/>
          <c:showBubbleSize val="0"/>
        </c:dLbls>
        <c:axId val="402403912"/>
        <c:axId val="402401952"/>
      </c:scatterChart>
      <c:valAx>
        <c:axId val="402403912"/>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401952"/>
        <c:crosses val="autoZero"/>
        <c:crossBetween val="midCat"/>
        <c:majorUnit val="5"/>
      </c:valAx>
      <c:valAx>
        <c:axId val="402401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Rolling</a:t>
                </a:r>
                <a:r>
                  <a:rPr lang="en-GB" sz="1400" baseline="0"/>
                  <a:t> Resistance (N)</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403912"/>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Gradient</a:t>
            </a:r>
            <a:r>
              <a:rPr lang="en-GB" sz="1600" u="sng" baseline="0"/>
              <a:t>  Time  Graph </a:t>
            </a:r>
            <a:endParaRPr lang="en-GB"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Sheet1!$Q$4</c:f>
              <c:strCache>
                <c:ptCount val="1"/>
                <c:pt idx="0">
                  <c:v>Gradiant (°)</c:v>
                </c:pt>
              </c:strCache>
            </c:strRef>
          </c:tx>
          <c:spPr>
            <a:ln w="28575"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Sheet1!$Q$5:$Q$31</c:f>
              <c:numCache>
                <c:formatCode>General</c:formatCode>
                <c:ptCount val="27"/>
                <c:pt idx="0">
                  <c:v>0</c:v>
                </c:pt>
                <c:pt idx="1">
                  <c:v>7.1272878819970913</c:v>
                </c:pt>
                <c:pt idx="2">
                  <c:v>4.1706479118615389</c:v>
                </c:pt>
                <c:pt idx="3">
                  <c:v>-3.9592874494513626</c:v>
                </c:pt>
                <c:pt idx="4">
                  <c:v>-4.0960437581523328</c:v>
                </c:pt>
                <c:pt idx="5">
                  <c:v>-8.0478462473115151</c:v>
                </c:pt>
                <c:pt idx="6">
                  <c:v>-14.477512185929925</c:v>
                </c:pt>
                <c:pt idx="7">
                  <c:v>0</c:v>
                </c:pt>
                <c:pt idx="8">
                  <c:v>-7.4947174539266861</c:v>
                </c:pt>
                <c:pt idx="9">
                  <c:v>-7.3540352103988331</c:v>
                </c:pt>
                <c:pt idx="10">
                  <c:v>0</c:v>
                </c:pt>
                <c:pt idx="11">
                  <c:v>7.3714758533336164</c:v>
                </c:pt>
                <c:pt idx="12">
                  <c:v>6.6997651777601872</c:v>
                </c:pt>
                <c:pt idx="13">
                  <c:v>9.2068962213459002</c:v>
                </c:pt>
                <c:pt idx="14">
                  <c:v>3.8225537292743441</c:v>
                </c:pt>
                <c:pt idx="15">
                  <c:v>6.8921025793463802</c:v>
                </c:pt>
                <c:pt idx="16">
                  <c:v>-1.9932987419679011</c:v>
                </c:pt>
                <c:pt idx="17">
                  <c:v>-5.5088786712030746</c:v>
                </c:pt>
                <c:pt idx="18">
                  <c:v>-7.6140817395938853</c:v>
                </c:pt>
                <c:pt idx="19">
                  <c:v>-8.0478462473115151</c:v>
                </c:pt>
                <c:pt idx="20">
                  <c:v>6.3153155693573835</c:v>
                </c:pt>
                <c:pt idx="21">
                  <c:v>-8.6269265586786386</c:v>
                </c:pt>
                <c:pt idx="22">
                  <c:v>0</c:v>
                </c:pt>
                <c:pt idx="23">
                  <c:v>-6.8477101777828731</c:v>
                </c:pt>
                <c:pt idx="24">
                  <c:v>-3.0708868110748648</c:v>
                </c:pt>
                <c:pt idx="25">
                  <c:v>4.5247019004531444</c:v>
                </c:pt>
                <c:pt idx="26">
                  <c:v>5.7391704772667866</c:v>
                </c:pt>
              </c:numCache>
            </c:numRef>
          </c:val>
          <c:smooth val="0"/>
          <c:extLst xmlns:c16r2="http://schemas.microsoft.com/office/drawing/2015/06/chart">
            <c:ext xmlns:c16="http://schemas.microsoft.com/office/drawing/2014/chart" uri="{C3380CC4-5D6E-409C-BE32-E72D297353CC}">
              <c16:uniqueId val="{00000000-D658-43DE-9A43-8A9FBA052C8D}"/>
            </c:ext>
          </c:extLst>
        </c:ser>
        <c:dLbls>
          <c:showLegendKey val="0"/>
          <c:showVal val="0"/>
          <c:showCatName val="0"/>
          <c:showSerName val="0"/>
          <c:showPercent val="0"/>
          <c:showBubbleSize val="0"/>
        </c:dLbls>
        <c:marker val="1"/>
        <c:smooth val="0"/>
        <c:axId val="402402736"/>
        <c:axId val="402129584"/>
      </c:lineChart>
      <c:catAx>
        <c:axId val="402402736"/>
        <c:scaling>
          <c:orientation val="minMax"/>
        </c:scaling>
        <c:delete val="0"/>
        <c:axPos val="b"/>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129584"/>
        <c:crosses val="autoZero"/>
        <c:auto val="1"/>
        <c:lblAlgn val="ctr"/>
        <c:lblOffset val="100"/>
        <c:noMultiLvlLbl val="0"/>
      </c:catAx>
      <c:valAx>
        <c:axId val="402129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Gradient (</a:t>
                </a:r>
                <a:r>
                  <a:rPr lang="en-GB" sz="1400">
                    <a:latin typeface="Times New Roman" panose="02020603050405020304" pitchFamily="18" charset="0"/>
                    <a:cs typeface="Times New Roman" panose="02020603050405020304" pitchFamily="18" charset="0"/>
                  </a:rPr>
                  <a:t>º)</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2402736"/>
        <c:crosses val="autoZero"/>
        <c:crossBetween val="between"/>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Total</a:t>
            </a:r>
            <a:r>
              <a:rPr lang="en-GB" sz="1600" u="sng" baseline="0"/>
              <a:t> Vehicle resistance Time Graph </a:t>
            </a:r>
            <a:endParaRPr lang="en-GB" sz="1600" u="sng"/>
          </a:p>
        </c:rich>
      </c:tx>
      <c:layout/>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2835694729328946E-2"/>
          <c:y val="9.8706083469644254E-2"/>
          <c:w val="0.9018622455339268"/>
          <c:h val="0.78312523128852274"/>
        </c:manualLayout>
      </c:layout>
      <c:scatterChart>
        <c:scatterStyle val="lineMarker"/>
        <c:varyColors val="0"/>
        <c:ser>
          <c:idx val="1"/>
          <c:order val="0"/>
          <c:tx>
            <c:strRef>
              <c:f>Sheet1!$AA$4</c:f>
              <c:strCache>
                <c:ptCount val="1"/>
                <c:pt idx="0">
                  <c:v>Aerodynamic Resistance (N)</c:v>
                </c:pt>
              </c:strCache>
            </c:strRef>
          </c:tx>
          <c:spPr>
            <a:ln w="19050" cap="rnd">
              <a:solidFill>
                <a:srgbClr val="0070C0"/>
              </a:solidFill>
              <a:round/>
            </a:ln>
            <a:effectLst/>
          </c:spPr>
          <c:marker>
            <c:symbol val="circle"/>
            <c:size val="5"/>
            <c:spPr>
              <a:solidFill>
                <a:srgbClr val="00B0F0"/>
              </a:solidFill>
              <a:ln w="9525">
                <a:solidFill>
                  <a:srgbClr val="0070C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xmlns:c16r2="http://schemas.microsoft.com/office/drawing/2015/06/chart">
            <c:ext xmlns:c16="http://schemas.microsoft.com/office/drawing/2014/chart" uri="{C3380CC4-5D6E-409C-BE32-E72D297353CC}">
              <c16:uniqueId val="{00000000-FFD1-41FF-92F5-79ABC59423A0}"/>
            </c:ext>
          </c:extLst>
        </c:ser>
        <c:ser>
          <c:idx val="2"/>
          <c:order val="1"/>
          <c:tx>
            <c:strRef>
              <c:f>Sheet1!$AB$4</c:f>
              <c:strCache>
                <c:ptCount val="1"/>
                <c:pt idx="0">
                  <c:v>Rolling Drag (N)</c:v>
                </c:pt>
              </c:strCache>
            </c:strRef>
          </c:tx>
          <c:spPr>
            <a:ln w="19050" cap="rnd">
              <a:solidFill>
                <a:srgbClr val="C251E1"/>
              </a:solidFill>
              <a:round/>
            </a:ln>
            <a:effectLst/>
          </c:spPr>
          <c:marker>
            <c:symbol val="circle"/>
            <c:size val="5"/>
            <c:spPr>
              <a:solidFill>
                <a:srgbClr val="C251E1"/>
              </a:solidFill>
              <a:ln w="9525">
                <a:solidFill>
                  <a:srgbClr val="C251E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xmlns:c16r2="http://schemas.microsoft.com/office/drawing/2015/06/chart">
            <c:ext xmlns:c16="http://schemas.microsoft.com/office/drawing/2014/chart" uri="{C3380CC4-5D6E-409C-BE32-E72D297353CC}">
              <c16:uniqueId val="{00000001-FFD1-41FF-92F5-79ABC59423A0}"/>
            </c:ext>
          </c:extLst>
        </c:ser>
        <c:ser>
          <c:idx val="3"/>
          <c:order val="2"/>
          <c:tx>
            <c:strRef>
              <c:f>Sheet1!$AC$4</c:f>
              <c:strCache>
                <c:ptCount val="1"/>
                <c:pt idx="0">
                  <c:v>Grading Resistance (N)</c:v>
                </c:pt>
              </c:strCache>
            </c:strRef>
          </c:tx>
          <c:spPr>
            <a:ln w="22225" cap="rnd">
              <a:solidFill>
                <a:srgbClr val="92D050"/>
              </a:solidFill>
              <a:round/>
            </a:ln>
            <a:effectLst/>
          </c:spPr>
          <c:marker>
            <c:symbol val="circle"/>
            <c:size val="5"/>
            <c:spPr>
              <a:solidFill>
                <a:srgbClr val="92D050"/>
              </a:solidFill>
              <a:ln w="9525">
                <a:solidFill>
                  <a:srgbClr val="92D05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xmlns:c16r2="http://schemas.microsoft.com/office/drawing/2015/06/chart">
            <c:ext xmlns:c16="http://schemas.microsoft.com/office/drawing/2014/chart" uri="{C3380CC4-5D6E-409C-BE32-E72D297353CC}">
              <c16:uniqueId val="{00000002-FFD1-41FF-92F5-79ABC59423A0}"/>
            </c:ext>
          </c:extLst>
        </c:ser>
        <c:ser>
          <c:idx val="0"/>
          <c:order val="3"/>
          <c:tx>
            <c:strRef>
              <c:f>Sheet1!$AD$4</c:f>
              <c:strCache>
                <c:ptCount val="1"/>
                <c:pt idx="0">
                  <c:v>Total Vehicle Resistance (N)</c:v>
                </c:pt>
              </c:strCache>
            </c:strRef>
          </c:tx>
          <c:spPr>
            <a:ln w="25400" cap="rnd">
              <a:solidFill>
                <a:srgbClr val="C00000"/>
              </a:solidFill>
              <a:round/>
            </a:ln>
            <a:effectLst/>
          </c:spPr>
          <c:marker>
            <c:symbol val="circle"/>
            <c:size val="5"/>
            <c:spPr>
              <a:solidFill>
                <a:srgbClr val="C00000"/>
              </a:solidFill>
              <a:ln w="9525">
                <a:solidFill>
                  <a:srgbClr val="C0000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Sheet1!$AD$5:$AD$31</c:f>
              <c:numCache>
                <c:formatCode>General</c:formatCode>
                <c:ptCount val="27"/>
                <c:pt idx="0">
                  <c:v>451.26</c:v>
                </c:pt>
                <c:pt idx="1">
                  <c:v>4778.4620810602128</c:v>
                </c:pt>
                <c:pt idx="2">
                  <c:v>1654.3630794438363</c:v>
                </c:pt>
                <c:pt idx="3">
                  <c:v>-2960.5250377949328</c:v>
                </c:pt>
                <c:pt idx="4">
                  <c:v>-4075.0490269928764</c:v>
                </c:pt>
                <c:pt idx="5">
                  <c:v>-3208.8180271364517</c:v>
                </c:pt>
                <c:pt idx="6">
                  <c:v>-223.08710321380528</c:v>
                </c:pt>
                <c:pt idx="7">
                  <c:v>451.88688170603348</c:v>
                </c:pt>
                <c:pt idx="8">
                  <c:v>-4178.5665795100795</c:v>
                </c:pt>
                <c:pt idx="9">
                  <c:v>-1622.3873574437487</c:v>
                </c:pt>
                <c:pt idx="10">
                  <c:v>466.93204265083773</c:v>
                </c:pt>
                <c:pt idx="11">
                  <c:v>6102.2050197376129</c:v>
                </c:pt>
                <c:pt idx="12">
                  <c:v>3693.4372403833599</c:v>
                </c:pt>
                <c:pt idx="13">
                  <c:v>-1426.1422707473821</c:v>
                </c:pt>
                <c:pt idx="14">
                  <c:v>-4316.6622179348515</c:v>
                </c:pt>
                <c:pt idx="15">
                  <c:v>-4033.0519079696542</c:v>
                </c:pt>
                <c:pt idx="16">
                  <c:v>-4573.967222089741</c:v>
                </c:pt>
                <c:pt idx="17">
                  <c:v>-5120.7545690354591</c:v>
                </c:pt>
                <c:pt idx="18">
                  <c:v>-1797.5878197009579</c:v>
                </c:pt>
                <c:pt idx="19">
                  <c:v>-3099.1137285805876</c:v>
                </c:pt>
                <c:pt idx="20">
                  <c:v>-2874.1935299691672</c:v>
                </c:pt>
                <c:pt idx="21">
                  <c:v>5022.3237338780937</c:v>
                </c:pt>
                <c:pt idx="22">
                  <c:v>111.44563662817941</c:v>
                </c:pt>
                <c:pt idx="23">
                  <c:v>-1461.5878218237344</c:v>
                </c:pt>
                <c:pt idx="24">
                  <c:v>403.02976833671084</c:v>
                </c:pt>
                <c:pt idx="25">
                  <c:v>6191.5699188143262</c:v>
                </c:pt>
                <c:pt idx="26">
                  <c:v>5418.6734281567642</c:v>
                </c:pt>
              </c:numCache>
            </c:numRef>
          </c:yVal>
          <c:smooth val="0"/>
          <c:extLst xmlns:c16r2="http://schemas.microsoft.com/office/drawing/2015/06/chart">
            <c:ext xmlns:c16="http://schemas.microsoft.com/office/drawing/2014/chart" uri="{C3380CC4-5D6E-409C-BE32-E72D297353CC}">
              <c16:uniqueId val="{00000000-0108-473E-B520-31012608EF86}"/>
            </c:ext>
          </c:extLst>
        </c:ser>
        <c:dLbls>
          <c:showLegendKey val="0"/>
          <c:showVal val="0"/>
          <c:showCatName val="0"/>
          <c:showSerName val="0"/>
          <c:showPercent val="0"/>
          <c:showBubbleSize val="0"/>
        </c:dLbls>
        <c:axId val="401221160"/>
        <c:axId val="406807344"/>
      </c:scatterChart>
      <c:valAx>
        <c:axId val="401221160"/>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7344"/>
        <c:crosses val="autoZero"/>
        <c:crossBetween val="midCat"/>
        <c:majorUnit val="5"/>
      </c:valAx>
      <c:valAx>
        <c:axId val="406807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effectLst/>
                  </a:rPr>
                  <a:t>Total Vehicle </a:t>
                </a:r>
                <a:r>
                  <a:rPr lang="en-GB" sz="1400" b="0" i="0" baseline="0">
                    <a:effectLst/>
                  </a:rPr>
                  <a:t>resistance</a:t>
                </a:r>
                <a:r>
                  <a:rPr lang="en-GB" sz="1200" b="0" i="0" baseline="0">
                    <a:effectLst/>
                  </a:rPr>
                  <a:t> (N)</a:t>
                </a:r>
                <a:endParaRPr lang="en-GB" sz="700">
                  <a:effectLst/>
                </a:endParaRPr>
              </a:p>
            </c:rich>
          </c:tx>
          <c:layout>
            <c:manualLayout>
              <c:xMode val="edge"/>
              <c:yMode val="edge"/>
              <c:x val="1.5451744121614529E-2"/>
              <c:y val="0.2789404169294468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1221160"/>
        <c:crosses val="autoZero"/>
        <c:crossBetween val="midCat"/>
      </c:valAx>
      <c:spPr>
        <a:noFill/>
        <a:ln>
          <a:noFill/>
        </a:ln>
        <a:effectLst/>
      </c:spPr>
    </c:plotArea>
    <c:legend>
      <c:legendPos val="r"/>
      <c:layout>
        <c:manualLayout>
          <c:xMode val="edge"/>
          <c:yMode val="edge"/>
          <c:x val="0.85175380029693848"/>
          <c:y val="0.60274784390401581"/>
          <c:w val="0.12934406815133184"/>
          <c:h val="0.26096191232874394"/>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b="0" i="0" u="sng" baseline="0">
                <a:effectLst/>
              </a:rPr>
              <a:t>Acceleration Time Graph </a:t>
            </a:r>
            <a:endParaRPr lang="en-GB" sz="1600" u="sng">
              <a:effectLst/>
            </a:endParaRPr>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722389649695999E-2"/>
          <c:y val="0.15375476731411478"/>
          <c:w val="0.9373621033509395"/>
          <c:h val="0.64780815315628426"/>
        </c:manualLayout>
      </c:layout>
      <c:scatterChart>
        <c:scatterStyle val="lineMarker"/>
        <c:varyColors val="0"/>
        <c:ser>
          <c:idx val="0"/>
          <c:order val="0"/>
          <c:tx>
            <c:strRef>
              <c:f>Sheet1!$X$4</c:f>
              <c:strCache>
                <c:ptCount val="1"/>
                <c:pt idx="0">
                  <c:v>Acceleration m/s²</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Sheet1!$X$5:$X$31</c:f>
              <c:numCache>
                <c:formatCode>General</c:formatCode>
                <c:ptCount val="27"/>
                <c:pt idx="0">
                  <c:v>0</c:v>
                </c:pt>
                <c:pt idx="1">
                  <c:v>5.9209890052933121</c:v>
                </c:pt>
                <c:pt idx="2">
                  <c:v>-0.52986123200778212</c:v>
                </c:pt>
                <c:pt idx="3">
                  <c:v>-1.4273812780617807</c:v>
                </c:pt>
                <c:pt idx="4">
                  <c:v>-1.4273812780617805</c:v>
                </c:pt>
                <c:pt idx="5">
                  <c:v>-0.99916689464324637</c:v>
                </c:pt>
                <c:pt idx="6">
                  <c:v>-0.19983337892864925</c:v>
                </c:pt>
                <c:pt idx="7">
                  <c:v>9.9916689464324623E-2</c:v>
                </c:pt>
                <c:pt idx="8">
                  <c:v>2.3458701004667528</c:v>
                </c:pt>
                <c:pt idx="9">
                  <c:v>-1.5986670314291944</c:v>
                </c:pt>
                <c:pt idx="10">
                  <c:v>-0.74937517098243467</c:v>
                </c:pt>
                <c:pt idx="11">
                  <c:v>3.7704411118613068</c:v>
                </c:pt>
                <c:pt idx="12">
                  <c:v>-2.9142367760428014</c:v>
                </c:pt>
                <c:pt idx="13">
                  <c:v>0</c:v>
                </c:pt>
                <c:pt idx="14">
                  <c:v>0</c:v>
                </c:pt>
                <c:pt idx="15">
                  <c:v>0.79933351571459699</c:v>
                </c:pt>
                <c:pt idx="16">
                  <c:v>-1.7376815559012981</c:v>
                </c:pt>
                <c:pt idx="17">
                  <c:v>0.99916689464324615</c:v>
                </c:pt>
                <c:pt idx="18">
                  <c:v>1.7485420656256816</c:v>
                </c:pt>
                <c:pt idx="19">
                  <c:v>3.9966675785729846</c:v>
                </c:pt>
                <c:pt idx="20">
                  <c:v>0</c:v>
                </c:pt>
                <c:pt idx="21">
                  <c:v>0</c:v>
                </c:pt>
                <c:pt idx="22">
                  <c:v>0</c:v>
                </c:pt>
                <c:pt idx="23">
                  <c:v>-2.8822121960862876</c:v>
                </c:pt>
                <c:pt idx="24">
                  <c:v>1.0705359585463361</c:v>
                </c:pt>
                <c:pt idx="25">
                  <c:v>0.88814835079399657</c:v>
                </c:pt>
                <c:pt idx="26">
                  <c:v>0</c:v>
                </c:pt>
              </c:numCache>
            </c:numRef>
          </c:yVal>
          <c:smooth val="0"/>
          <c:extLst xmlns:c16r2="http://schemas.microsoft.com/office/drawing/2015/06/chart">
            <c:ext xmlns:c16="http://schemas.microsoft.com/office/drawing/2014/chart" uri="{C3380CC4-5D6E-409C-BE32-E72D297353CC}">
              <c16:uniqueId val="{00000000-95ED-4C8B-A05D-6B31AC9CF203}"/>
            </c:ext>
          </c:extLst>
        </c:ser>
        <c:ser>
          <c:idx val="1"/>
          <c:order val="1"/>
          <c:tx>
            <c:strRef>
              <c:f>Sheet1!$E$25</c:f>
              <c:strCache>
                <c:ptCount val="1"/>
                <c:pt idx="0">
                  <c:v>Max Acceleration m/s²</c:v>
                </c:pt>
              </c:strCache>
            </c:strRef>
          </c:tx>
          <c:spPr>
            <a:ln w="28575" cap="rnd">
              <a:solidFill>
                <a:srgbClr val="0070C0"/>
              </a:solidFill>
              <a:round/>
            </a:ln>
            <a:effectLst/>
          </c:spPr>
          <c:marker>
            <c:symbol val="none"/>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Sheet1!$Y$5:$Y$31</c:f>
              <c:numCache>
                <c:formatCode>General</c:formatCode>
                <c:ptCount val="27"/>
                <c:pt idx="0">
                  <c:v>7.6639999999999997</c:v>
                </c:pt>
                <c:pt idx="1">
                  <c:v>7.6639999999999997</c:v>
                </c:pt>
                <c:pt idx="2">
                  <c:v>7.6639999999999997</c:v>
                </c:pt>
                <c:pt idx="3">
                  <c:v>7.6639999999999997</c:v>
                </c:pt>
                <c:pt idx="4">
                  <c:v>7.6639999999999997</c:v>
                </c:pt>
                <c:pt idx="5">
                  <c:v>7.6639999999999997</c:v>
                </c:pt>
                <c:pt idx="6">
                  <c:v>7.6639999999999997</c:v>
                </c:pt>
                <c:pt idx="7">
                  <c:v>7.6639999999999997</c:v>
                </c:pt>
                <c:pt idx="8">
                  <c:v>7.6639999999999997</c:v>
                </c:pt>
                <c:pt idx="9">
                  <c:v>7.6639999999999997</c:v>
                </c:pt>
                <c:pt idx="10">
                  <c:v>7.6639999999999997</c:v>
                </c:pt>
                <c:pt idx="11">
                  <c:v>7.6639999999999997</c:v>
                </c:pt>
                <c:pt idx="12">
                  <c:v>7.6639999999999997</c:v>
                </c:pt>
                <c:pt idx="13">
                  <c:v>7.6639999999999997</c:v>
                </c:pt>
                <c:pt idx="14">
                  <c:v>7.6639999999999997</c:v>
                </c:pt>
                <c:pt idx="15">
                  <c:v>7.6639999999999997</c:v>
                </c:pt>
                <c:pt idx="16">
                  <c:v>7.6639999999999997</c:v>
                </c:pt>
                <c:pt idx="17">
                  <c:v>7.6639999999999997</c:v>
                </c:pt>
                <c:pt idx="18">
                  <c:v>7.6639999999999997</c:v>
                </c:pt>
                <c:pt idx="19">
                  <c:v>7.6639999999999997</c:v>
                </c:pt>
                <c:pt idx="20">
                  <c:v>7.6639999999999997</c:v>
                </c:pt>
                <c:pt idx="21">
                  <c:v>7.6639999999999997</c:v>
                </c:pt>
                <c:pt idx="22">
                  <c:v>7.6639999999999997</c:v>
                </c:pt>
                <c:pt idx="23">
                  <c:v>7.6639999999999997</c:v>
                </c:pt>
                <c:pt idx="24">
                  <c:v>7.6639999999999997</c:v>
                </c:pt>
                <c:pt idx="25">
                  <c:v>7.6639999999999997</c:v>
                </c:pt>
                <c:pt idx="26">
                  <c:v>7.6639999999999997</c:v>
                </c:pt>
              </c:numCache>
            </c:numRef>
          </c:yVal>
          <c:smooth val="0"/>
          <c:extLst xmlns:c16r2="http://schemas.microsoft.com/office/drawing/2015/06/chart">
            <c:ext xmlns:c16="http://schemas.microsoft.com/office/drawing/2014/chart" uri="{C3380CC4-5D6E-409C-BE32-E72D297353CC}">
              <c16:uniqueId val="{00000002-95ED-4C8B-A05D-6B31AC9CF203}"/>
            </c:ext>
          </c:extLst>
        </c:ser>
        <c:dLbls>
          <c:showLegendKey val="0"/>
          <c:showVal val="0"/>
          <c:showCatName val="0"/>
          <c:showSerName val="0"/>
          <c:showPercent val="0"/>
          <c:showBubbleSize val="0"/>
        </c:dLbls>
        <c:axId val="406804600"/>
        <c:axId val="406805776"/>
      </c:scatterChart>
      <c:valAx>
        <c:axId val="406804600"/>
        <c:scaling>
          <c:orientation val="minMax"/>
          <c:max val="68"/>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Time (s)</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5776"/>
        <c:crosses val="autoZero"/>
        <c:crossBetween val="midCat"/>
        <c:majorUnit val="2"/>
      </c:valAx>
      <c:valAx>
        <c:axId val="406805776"/>
        <c:scaling>
          <c:orientation val="minMax"/>
          <c:max val="9"/>
          <c:min val="-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Acceleration (m/s</a:t>
                </a:r>
                <a:r>
                  <a:rPr lang="en-GB" sz="1400" b="0" i="0" baseline="0">
                    <a:effectLst/>
                    <a:latin typeface="Times New Roman" panose="02020603050405020304" pitchFamily="18" charset="0"/>
                    <a:cs typeface="Times New Roman" panose="02020603050405020304" pitchFamily="18" charset="0"/>
                  </a:rPr>
                  <a:t>²</a:t>
                </a:r>
                <a:r>
                  <a:rPr lang="en-GB" sz="1400" b="0" i="0" baseline="0">
                    <a:effectLst/>
                  </a:rPr>
                  <a:t>)</a:t>
                </a:r>
                <a:endParaRPr lang="en-GB" sz="1400">
                  <a:effectLst/>
                </a:endParaRP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4600"/>
        <c:crosses val="autoZero"/>
        <c:crossBetween val="midCat"/>
      </c:valAx>
      <c:spPr>
        <a:noFill/>
        <a:ln>
          <a:noFill/>
        </a:ln>
        <a:effectLst/>
      </c:spPr>
    </c:plotArea>
    <c:legend>
      <c:legendPos val="r"/>
      <c:layout>
        <c:manualLayout>
          <c:xMode val="edge"/>
          <c:yMode val="edge"/>
          <c:x val="0.87005860612217745"/>
          <c:y val="0.3154299891638514"/>
          <c:w val="0.10577475411449831"/>
          <c:h val="0.12362727456008613"/>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Grading Resistance Time</a:t>
            </a:r>
            <a:r>
              <a:rPr lang="en-US" sz="1600" u="sng" baseline="0"/>
              <a:t> Graph</a:t>
            </a:r>
          </a:p>
        </c:rich>
      </c:tx>
      <c:layout>
        <c:manualLayout>
          <c:xMode val="edge"/>
          <c:yMode val="edge"/>
          <c:x val="0.37713105774673833"/>
          <c:y val="1.1891700318852068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Sheet1!$AC$4</c:f>
              <c:strCache>
                <c:ptCount val="1"/>
                <c:pt idx="0">
                  <c:v>Grading Resistance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xmlns:c16r2="http://schemas.microsoft.com/office/drawing/2015/06/chart">
            <c:ext xmlns:c16="http://schemas.microsoft.com/office/drawing/2014/chart" uri="{C3380CC4-5D6E-409C-BE32-E72D297353CC}">
              <c16:uniqueId val="{00000000-1109-4706-8AC5-1EF9CD84F824}"/>
            </c:ext>
          </c:extLst>
        </c:ser>
        <c:dLbls>
          <c:showLegendKey val="0"/>
          <c:showVal val="0"/>
          <c:showCatName val="0"/>
          <c:showSerName val="0"/>
          <c:showPercent val="0"/>
          <c:showBubbleSize val="0"/>
        </c:dLbls>
        <c:axId val="406804992"/>
        <c:axId val="406808128"/>
      </c:scatterChart>
      <c:valAx>
        <c:axId val="406804992"/>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50221108846265494"/>
              <c:y val="0.90904324014188576"/>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8128"/>
        <c:crosses val="autoZero"/>
        <c:crossBetween val="midCat"/>
        <c:majorUnit val="5"/>
      </c:valAx>
      <c:valAx>
        <c:axId val="4068081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US" sz="1400" b="0" i="0" baseline="0">
                    <a:effectLst/>
                  </a:rPr>
                  <a:t>Grading Resistance (N)</a:t>
                </a:r>
                <a:endParaRPr lang="en-GB" sz="1400">
                  <a:effectLst/>
                </a:endParaRP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4992"/>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2000" u="sng"/>
              <a:t>Height</a:t>
            </a:r>
            <a:r>
              <a:rPr lang="en-GB" sz="2000" u="sng" baseline="0"/>
              <a:t> up the hill in relation to distance along track</a:t>
            </a:r>
            <a:endParaRPr lang="en-GB" sz="2000" u="sng"/>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838348533988232E-2"/>
          <c:y val="7.548479473138868E-2"/>
          <c:w val="0.87180672007986204"/>
          <c:h val="0.77591034888230903"/>
        </c:manualLayout>
      </c:layout>
      <c:lineChart>
        <c:grouping val="standard"/>
        <c:varyColors val="0"/>
        <c:ser>
          <c:idx val="0"/>
          <c:order val="0"/>
          <c:spPr>
            <a:ln w="28575"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a:scene3d>
                <a:camera prst="orthographicFront"/>
                <a:lightRig rig="threePt" dir="t"/>
              </a:scene3d>
              <a:sp3d prstMaterial="dkEdge"/>
            </c:spPr>
          </c:marker>
          <c:dPt>
            <c:idx val="5"/>
            <c:marker>
              <c:symbol val="circle"/>
              <c:size val="5"/>
              <c:spPr>
                <a:solidFill>
                  <a:schemeClr val="bg2">
                    <a:lumMod val="50000"/>
                  </a:schemeClr>
                </a:solidFill>
                <a:ln w="9525">
                  <a:solidFill>
                    <a:schemeClr val="accent2">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xmlns:c16r2="http://schemas.microsoft.com/office/drawing/2015/06/chart">
              <c:ext xmlns:c16="http://schemas.microsoft.com/office/drawing/2014/chart" uri="{C3380CC4-5D6E-409C-BE32-E72D297353CC}">
                <c16:uniqueId val="{00000002-B01A-4BE8-B2FF-7DE66E4B5DC3}"/>
              </c:ext>
            </c:extLst>
          </c:dPt>
          <c:dPt>
            <c:idx val="6"/>
            <c:marker>
              <c:symbol val="circle"/>
              <c:size val="5"/>
              <c:spPr>
                <a:solidFill>
                  <a:schemeClr val="accent2">
                    <a:lumMod val="60000"/>
                    <a:lumOff val="40000"/>
                  </a:schemeClr>
                </a:solidFill>
                <a:ln w="9525">
                  <a:solidFill>
                    <a:schemeClr val="accent2">
                      <a:lumMod val="75000"/>
                    </a:schemeClr>
                  </a:solidFill>
                </a:ln>
                <a:effectLst/>
                <a:scene3d>
                  <a:camera prst="orthographicFront"/>
                  <a:lightRig rig="threePt" dir="t"/>
                </a:scene3d>
                <a:sp3d prstMaterial="dkEdge"/>
              </c:spPr>
            </c:marker>
            <c:bubble3D val="0"/>
            <c:spPr>
              <a:ln w="34925" cap="rnd">
                <a:solidFill>
                  <a:schemeClr val="accent2">
                    <a:lumMod val="60000"/>
                    <a:lumOff val="40000"/>
                  </a:schemeClr>
                </a:solidFill>
                <a:round/>
              </a:ln>
              <a:effectLst/>
            </c:spPr>
            <c:extLst xmlns:c16r2="http://schemas.microsoft.com/office/drawing/2015/06/chart">
              <c:ext xmlns:c16="http://schemas.microsoft.com/office/drawing/2014/chart" uri="{C3380CC4-5D6E-409C-BE32-E72D297353CC}">
                <c16:uniqueId val="{00000001-B01A-4BE8-B2FF-7DE66E4B5DC3}"/>
              </c:ext>
            </c:extLst>
          </c:dPt>
          <c:dPt>
            <c:idx val="7"/>
            <c:marker>
              <c:symbol val="circle"/>
              <c:size val="5"/>
              <c:spPr>
                <a:solidFill>
                  <a:schemeClr val="bg2">
                    <a:lumMod val="50000"/>
                  </a:schemeClr>
                </a:solidFill>
                <a:ln w="9525">
                  <a:solidFill>
                    <a:schemeClr val="accent2">
                      <a:lumMod val="60000"/>
                      <a:lumOff val="40000"/>
                    </a:schemeClr>
                  </a:solidFill>
                </a:ln>
                <a:effectLst/>
                <a:scene3d>
                  <a:camera prst="orthographicFront"/>
                  <a:lightRig rig="threePt" dir="t"/>
                </a:scene3d>
                <a:sp3d prstMaterial="dkEdge"/>
              </c:spPr>
            </c:marker>
            <c:bubble3D val="0"/>
            <c:spPr>
              <a:ln w="34925" cap="rnd">
                <a:solidFill>
                  <a:schemeClr val="accent2">
                    <a:lumMod val="60000"/>
                    <a:lumOff val="40000"/>
                  </a:schemeClr>
                </a:solidFill>
                <a:round/>
              </a:ln>
              <a:effectLst/>
            </c:spPr>
            <c:extLst xmlns:c16r2="http://schemas.microsoft.com/office/drawing/2015/06/chart">
              <c:ext xmlns:c16="http://schemas.microsoft.com/office/drawing/2014/chart" uri="{C3380CC4-5D6E-409C-BE32-E72D297353CC}">
                <c16:uniqueId val="{00000008-B01A-4BE8-B2FF-7DE66E4B5DC3}"/>
              </c:ext>
            </c:extLst>
          </c:dPt>
          <c:dPt>
            <c:idx val="12"/>
            <c:marker>
              <c:symbol val="circle"/>
              <c:size val="5"/>
              <c:spPr>
                <a:solidFill>
                  <a:schemeClr val="bg2">
                    <a:lumMod val="50000"/>
                  </a:schemeClr>
                </a:solidFill>
                <a:ln w="9525">
                  <a:solidFill>
                    <a:schemeClr val="accent1">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xmlns:c16r2="http://schemas.microsoft.com/office/drawing/2015/06/chart">
              <c:ext xmlns:c16="http://schemas.microsoft.com/office/drawing/2014/chart" uri="{C3380CC4-5D6E-409C-BE32-E72D297353CC}">
                <c16:uniqueId val="{00000003-B01A-4BE8-B2FF-7DE66E4B5DC3}"/>
              </c:ext>
            </c:extLst>
          </c:dPt>
          <c:dPt>
            <c:idx val="13"/>
            <c:marker>
              <c:symbol val="circle"/>
              <c:size val="5"/>
              <c:spPr>
                <a:solidFill>
                  <a:srgbClr val="FFB15B"/>
                </a:solidFill>
                <a:ln w="9525">
                  <a:solidFill>
                    <a:srgbClr val="D06D00"/>
                  </a:solidFill>
                </a:ln>
                <a:effectLst/>
                <a:scene3d>
                  <a:camera prst="orthographicFront"/>
                  <a:lightRig rig="threePt" dir="t"/>
                </a:scene3d>
                <a:sp3d prstMaterial="dkEdge"/>
              </c:spPr>
            </c:marker>
            <c:bubble3D val="0"/>
            <c:spPr>
              <a:ln w="34925" cap="rnd">
                <a:solidFill>
                  <a:srgbClr val="FFB15B"/>
                </a:solidFill>
                <a:round/>
              </a:ln>
              <a:effectLst/>
            </c:spPr>
            <c:extLst xmlns:c16r2="http://schemas.microsoft.com/office/drawing/2015/06/chart">
              <c:ext xmlns:c16="http://schemas.microsoft.com/office/drawing/2014/chart" uri="{C3380CC4-5D6E-409C-BE32-E72D297353CC}">
                <c16:uniqueId val="{00000004-B01A-4BE8-B2FF-7DE66E4B5DC3}"/>
              </c:ext>
            </c:extLst>
          </c:dPt>
          <c:dPt>
            <c:idx val="14"/>
            <c:marker>
              <c:symbol val="circle"/>
              <c:size val="5"/>
              <c:spPr>
                <a:solidFill>
                  <a:schemeClr val="bg2">
                    <a:lumMod val="50000"/>
                  </a:schemeClr>
                </a:solidFill>
                <a:ln w="9525">
                  <a:solidFill>
                    <a:schemeClr val="accent1">
                      <a:lumMod val="60000"/>
                      <a:lumOff val="40000"/>
                    </a:schemeClr>
                  </a:solidFill>
                </a:ln>
                <a:effectLst/>
                <a:scene3d>
                  <a:camera prst="orthographicFront"/>
                  <a:lightRig rig="threePt" dir="t"/>
                </a:scene3d>
                <a:sp3d prstMaterial="dkEdge"/>
              </c:spPr>
            </c:marker>
            <c:bubble3D val="0"/>
            <c:spPr>
              <a:ln w="34925" cap="rnd">
                <a:solidFill>
                  <a:srgbClr val="FFB15B"/>
                </a:solidFill>
                <a:round/>
              </a:ln>
              <a:effectLst/>
            </c:spPr>
            <c:extLst xmlns:c16r2="http://schemas.microsoft.com/office/drawing/2015/06/chart">
              <c:ext xmlns:c16="http://schemas.microsoft.com/office/drawing/2014/chart" uri="{C3380CC4-5D6E-409C-BE32-E72D297353CC}">
                <c16:uniqueId val="{00000009-B01A-4BE8-B2FF-7DE66E4B5DC3}"/>
              </c:ext>
            </c:extLst>
          </c:dPt>
          <c:dPt>
            <c:idx val="19"/>
            <c:marker>
              <c:symbol val="circle"/>
              <c:size val="5"/>
              <c:spPr>
                <a:solidFill>
                  <a:schemeClr val="bg2">
                    <a:lumMod val="50000"/>
                  </a:schemeClr>
                </a:solidFill>
                <a:ln w="9525">
                  <a:solidFill>
                    <a:schemeClr val="accent3">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xmlns:c16r2="http://schemas.microsoft.com/office/drawing/2015/06/chart">
              <c:ext xmlns:c16="http://schemas.microsoft.com/office/drawing/2014/chart" uri="{C3380CC4-5D6E-409C-BE32-E72D297353CC}">
                <c16:uniqueId val="{00000005-B01A-4BE8-B2FF-7DE66E4B5DC3}"/>
              </c:ext>
            </c:extLst>
          </c:dPt>
          <c:dPt>
            <c:idx val="20"/>
            <c:marker>
              <c:symbol val="circle"/>
              <c:size val="5"/>
              <c:spPr>
                <a:solidFill>
                  <a:schemeClr val="accent3">
                    <a:lumMod val="60000"/>
                    <a:lumOff val="40000"/>
                  </a:schemeClr>
                </a:solidFill>
                <a:ln w="9525">
                  <a:solidFill>
                    <a:schemeClr val="accent3">
                      <a:lumMod val="75000"/>
                    </a:schemeClr>
                  </a:solidFill>
                </a:ln>
                <a:effectLst/>
                <a:scene3d>
                  <a:camera prst="orthographicFront"/>
                  <a:lightRig rig="threePt" dir="t"/>
                </a:scene3d>
                <a:sp3d prstMaterial="dkEdge"/>
              </c:spPr>
            </c:marker>
            <c:bubble3D val="0"/>
            <c:spPr>
              <a:ln w="34925" cap="rnd">
                <a:solidFill>
                  <a:schemeClr val="accent3">
                    <a:lumMod val="60000"/>
                    <a:lumOff val="40000"/>
                  </a:schemeClr>
                </a:solidFill>
                <a:round/>
              </a:ln>
              <a:effectLst/>
            </c:spPr>
            <c:extLst xmlns:c16r2="http://schemas.microsoft.com/office/drawing/2015/06/chart">
              <c:ext xmlns:c16="http://schemas.microsoft.com/office/drawing/2014/chart" uri="{C3380CC4-5D6E-409C-BE32-E72D297353CC}">
                <c16:uniqueId val="{00000006-B01A-4BE8-B2FF-7DE66E4B5DC3}"/>
              </c:ext>
            </c:extLst>
          </c:dPt>
          <c:dPt>
            <c:idx val="21"/>
            <c:marker>
              <c:symbol val="circle"/>
              <c:size val="5"/>
              <c:spPr>
                <a:solidFill>
                  <a:schemeClr val="bg2">
                    <a:lumMod val="50000"/>
                  </a:schemeClr>
                </a:solidFill>
                <a:ln w="9525">
                  <a:solidFill>
                    <a:schemeClr val="accent3">
                      <a:lumMod val="60000"/>
                      <a:lumOff val="40000"/>
                    </a:schemeClr>
                  </a:solidFill>
                </a:ln>
                <a:effectLst/>
                <a:scene3d>
                  <a:camera prst="orthographicFront"/>
                  <a:lightRig rig="threePt" dir="t"/>
                </a:scene3d>
                <a:sp3d prstMaterial="dkEdge"/>
              </c:spPr>
            </c:marker>
            <c:bubble3D val="0"/>
            <c:spPr>
              <a:ln w="34925" cap="rnd">
                <a:solidFill>
                  <a:schemeClr val="accent3">
                    <a:lumMod val="60000"/>
                    <a:lumOff val="40000"/>
                  </a:schemeClr>
                </a:solidFill>
                <a:round/>
              </a:ln>
              <a:effectLst/>
            </c:spPr>
            <c:extLst xmlns:c16r2="http://schemas.microsoft.com/office/drawing/2015/06/chart">
              <c:ext xmlns:c16="http://schemas.microsoft.com/office/drawing/2014/chart" uri="{C3380CC4-5D6E-409C-BE32-E72D297353CC}">
                <c16:uniqueId val="{00000007-B01A-4BE8-B2FF-7DE66E4B5DC3}"/>
              </c:ext>
            </c:extLst>
          </c:dPt>
          <c:cat>
            <c:numRef>
              <c:f>'CW1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cat>
          <c:val>
            <c:numRef>
              <c:f>'CW1 sheet'!$O$2:$O$28</c:f>
              <c:numCache>
                <c:formatCode>0.00</c:formatCode>
                <c:ptCount val="27"/>
                <c:pt idx="0">
                  <c:v>8</c:v>
                </c:pt>
                <c:pt idx="1">
                  <c:v>14.7</c:v>
                </c:pt>
                <c:pt idx="2">
                  <c:v>19.5</c:v>
                </c:pt>
                <c:pt idx="3">
                  <c:v>16.600000000000001</c:v>
                </c:pt>
                <c:pt idx="4">
                  <c:v>15.600000000000001</c:v>
                </c:pt>
                <c:pt idx="5">
                  <c:v>14.900000000000002</c:v>
                </c:pt>
                <c:pt idx="6">
                  <c:v>13.400000000000002</c:v>
                </c:pt>
                <c:pt idx="7">
                  <c:v>13.400000000000002</c:v>
                </c:pt>
                <c:pt idx="8">
                  <c:v>4.4000000000000021</c:v>
                </c:pt>
                <c:pt idx="9">
                  <c:v>1.200000000000002</c:v>
                </c:pt>
                <c:pt idx="10">
                  <c:v>1.200000000000002</c:v>
                </c:pt>
                <c:pt idx="11">
                  <c:v>8.0000000000000018</c:v>
                </c:pt>
                <c:pt idx="12">
                  <c:v>9.4000000000000021</c:v>
                </c:pt>
                <c:pt idx="13">
                  <c:v>10.200000000000003</c:v>
                </c:pt>
                <c:pt idx="14">
                  <c:v>10.600000000000003</c:v>
                </c:pt>
                <c:pt idx="15">
                  <c:v>16.600000000000001</c:v>
                </c:pt>
                <c:pt idx="16">
                  <c:v>15.000000000000002</c:v>
                </c:pt>
                <c:pt idx="17">
                  <c:v>12.600000000000001</c:v>
                </c:pt>
                <c:pt idx="18">
                  <c:v>7.3000000000000016</c:v>
                </c:pt>
                <c:pt idx="19">
                  <c:v>5.9000000000000021</c:v>
                </c:pt>
                <c:pt idx="20">
                  <c:v>7.1000000000000023</c:v>
                </c:pt>
                <c:pt idx="21">
                  <c:v>5.6000000000000023</c:v>
                </c:pt>
                <c:pt idx="22">
                  <c:v>5.6000000000000023</c:v>
                </c:pt>
                <c:pt idx="23">
                  <c:v>2.4000000000000021</c:v>
                </c:pt>
                <c:pt idx="24">
                  <c:v>0.90000000000000213</c:v>
                </c:pt>
                <c:pt idx="25">
                  <c:v>8.0000000000000018</c:v>
                </c:pt>
                <c:pt idx="26">
                  <c:v>8.1000000000000014</c:v>
                </c:pt>
              </c:numCache>
            </c:numRef>
          </c:val>
          <c:smooth val="0"/>
          <c:extLst xmlns:c16r2="http://schemas.microsoft.com/office/drawing/2015/06/chart">
            <c:ext xmlns:c16="http://schemas.microsoft.com/office/drawing/2014/chart" uri="{C3380CC4-5D6E-409C-BE32-E72D297353CC}">
              <c16:uniqueId val="{00000000-B01A-4BE8-B2FF-7DE66E4B5DC3}"/>
            </c:ext>
          </c:extLst>
        </c:ser>
        <c:dLbls>
          <c:showLegendKey val="0"/>
          <c:showVal val="0"/>
          <c:showCatName val="0"/>
          <c:showSerName val="0"/>
          <c:showPercent val="0"/>
          <c:showBubbleSize val="0"/>
        </c:dLbls>
        <c:marker val="1"/>
        <c:smooth val="0"/>
        <c:axId val="406805384"/>
        <c:axId val="406806560"/>
      </c:lineChart>
      <c:catAx>
        <c:axId val="4068053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Distance</a:t>
                </a:r>
                <a:r>
                  <a:rPr lang="en-GB" sz="2000" baseline="0"/>
                  <a:t> along track (m)</a:t>
                </a:r>
                <a:endParaRPr lang="en-GB" sz="2000"/>
              </a:p>
            </c:rich>
          </c:tx>
          <c:layout>
            <c:manualLayout>
              <c:xMode val="edge"/>
              <c:yMode val="edge"/>
              <c:x val="0.4467462759270836"/>
              <c:y val="0.9057916146958534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in"/>
        <c:minorTickMark val="in"/>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406806560"/>
        <c:crosses val="autoZero"/>
        <c:auto val="1"/>
        <c:lblAlgn val="ctr"/>
        <c:lblOffset val="1"/>
        <c:tickLblSkip val="1"/>
        <c:noMultiLvlLbl val="0"/>
      </c:catAx>
      <c:valAx>
        <c:axId val="4068065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Height</a:t>
                </a:r>
                <a:r>
                  <a:rPr lang="en-GB" sz="2000" baseline="0"/>
                  <a:t> up the hill (m)</a:t>
                </a:r>
                <a:endParaRPr lang="en-GB" sz="2000"/>
              </a:p>
            </c:rich>
          </c:tx>
          <c:layout>
            <c:manualLayout>
              <c:xMode val="edge"/>
              <c:yMode val="edge"/>
              <c:x val="4.4945089001162319E-3"/>
              <c:y val="0.3229593199070304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out"/>
        <c:minorTickMark val="none"/>
        <c:tickLblPos val="nextTo"/>
        <c:spPr>
          <a:noFill/>
          <a:ln>
            <a:noFill/>
          </a:ln>
          <a:effectLst/>
        </c:spPr>
        <c:txPr>
          <a:bodyPr rot="-60000000" spcFirstLastPara="1" vertOverflow="ellipsis" vert="horz" wrap="square" anchor="ctr" anchorCtr="0"/>
          <a:lstStyle/>
          <a:p>
            <a:pPr>
              <a:defRPr sz="1600" b="0" i="0" u="none" strike="noStrike" kern="1200" baseline="0">
                <a:solidFill>
                  <a:schemeClr val="tx1">
                    <a:lumMod val="65000"/>
                    <a:lumOff val="35000"/>
                  </a:schemeClr>
                </a:solidFill>
                <a:latin typeface="+mn-lt"/>
                <a:ea typeface="+mn-ea"/>
                <a:cs typeface="+mn-cs"/>
              </a:defRPr>
            </a:pPr>
            <a:endParaRPr lang="en-US"/>
          </a:p>
        </c:txPr>
        <c:crossAx val="406805384"/>
        <c:crossesAt val="1"/>
        <c:crossBetween val="between"/>
        <c:majorUnit val="2"/>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Total</a:t>
            </a:r>
            <a:r>
              <a:rPr lang="en-GB" u="sng" baseline="0"/>
              <a:t> resistive power and Max power available against distance </a:t>
            </a:r>
            <a:endParaRPr lang="en-GB" u="sng"/>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'CW1 sheet'!$AC$1</c:f>
              <c:strCache>
                <c:ptCount val="1"/>
                <c:pt idx="0">
                  <c:v>Total Resistive Power (W)</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'CW1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xVal>
          <c:yVal>
            <c:numRef>
              <c:f>'CW1 sheet'!$AC$2:$AC$28</c:f>
              <c:numCache>
                <c:formatCode>0.00</c:formatCode>
                <c:ptCount val="27"/>
                <c:pt idx="0">
                  <c:v>0</c:v>
                </c:pt>
                <c:pt idx="1">
                  <c:v>25261.045506687758</c:v>
                </c:pt>
                <c:pt idx="2">
                  <c:v>16572.054404609589</c:v>
                </c:pt>
                <c:pt idx="3">
                  <c:v>873.48472328924379</c:v>
                </c:pt>
                <c:pt idx="4">
                  <c:v>275.46297083136136</c:v>
                </c:pt>
                <c:pt idx="5">
                  <c:v>-851.24868557819525</c:v>
                </c:pt>
                <c:pt idx="6">
                  <c:v>-968.91049254218103</c:v>
                </c:pt>
                <c:pt idx="7">
                  <c:v>684.95335052217274</c:v>
                </c:pt>
                <c:pt idx="8">
                  <c:v>-3472.184452851991</c:v>
                </c:pt>
                <c:pt idx="9">
                  <c:v>-2487.3544107550752</c:v>
                </c:pt>
                <c:pt idx="10">
                  <c:v>3525.6507106672179</c:v>
                </c:pt>
                <c:pt idx="11">
                  <c:v>25743.095534380951</c:v>
                </c:pt>
                <c:pt idx="12">
                  <c:v>20955.730797505923</c:v>
                </c:pt>
                <c:pt idx="13">
                  <c:v>17297.628428261396</c:v>
                </c:pt>
                <c:pt idx="14">
                  <c:v>7986.0951247298808</c:v>
                </c:pt>
                <c:pt idx="15">
                  <c:v>24796.524570910671</c:v>
                </c:pt>
                <c:pt idx="16">
                  <c:v>2826.9119786251113</c:v>
                </c:pt>
                <c:pt idx="17">
                  <c:v>-653.67175002366378</c:v>
                </c:pt>
                <c:pt idx="18">
                  <c:v>-3902.7375753148208</c:v>
                </c:pt>
                <c:pt idx="19">
                  <c:v>-4848.3569668631299</c:v>
                </c:pt>
                <c:pt idx="20">
                  <c:v>15675.022559287961</c:v>
                </c:pt>
                <c:pt idx="21">
                  <c:v>-15110.046729938676</c:v>
                </c:pt>
                <c:pt idx="22">
                  <c:v>1992.7695418539008</c:v>
                </c:pt>
                <c:pt idx="23">
                  <c:v>-2583.2202524823128</c:v>
                </c:pt>
                <c:pt idx="24">
                  <c:v>3100.7146578136339</c:v>
                </c:pt>
                <c:pt idx="25">
                  <c:v>20109.086037160116</c:v>
                </c:pt>
                <c:pt idx="26">
                  <c:v>22516.149068004997</c:v>
                </c:pt>
              </c:numCache>
            </c:numRef>
          </c:yVal>
          <c:smooth val="0"/>
          <c:extLst xmlns:c16r2="http://schemas.microsoft.com/office/drawing/2015/06/chart">
            <c:ext xmlns:c16="http://schemas.microsoft.com/office/drawing/2014/chart" uri="{C3380CC4-5D6E-409C-BE32-E72D297353CC}">
              <c16:uniqueId val="{00000000-397A-4EE7-941F-17FB58ACEE62}"/>
            </c:ext>
          </c:extLst>
        </c:ser>
        <c:ser>
          <c:idx val="1"/>
          <c:order val="1"/>
          <c:tx>
            <c:strRef>
              <c:f>'CW1 sheet'!$D$18</c:f>
              <c:strCache>
                <c:ptCount val="1"/>
                <c:pt idx="0">
                  <c:v>Max Kw output </c:v>
                </c:pt>
              </c:strCache>
            </c:strRef>
          </c:tx>
          <c:spPr>
            <a:ln w="19050" cap="rnd">
              <a:solidFill>
                <a:srgbClr val="002060"/>
              </a:solidFill>
              <a:round/>
            </a:ln>
            <a:effectLst/>
          </c:spPr>
          <c:marker>
            <c:symbol val="circle"/>
            <c:size val="5"/>
            <c:spPr>
              <a:noFill/>
              <a:ln w="9525">
                <a:noFill/>
              </a:ln>
              <a:effectLst/>
            </c:spPr>
          </c:marker>
          <c:xVal>
            <c:numRef>
              <c:f>'CW1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xVal>
          <c:yVal>
            <c:numRef>
              <c:f>'CW1 sheet'!$AE$2:$AE$28</c:f>
              <c:numCache>
                <c:formatCode>0.00</c:formatCode>
                <c:ptCount val="27"/>
                <c:pt idx="0">
                  <c:v>147200</c:v>
                </c:pt>
                <c:pt idx="1">
                  <c:v>147200</c:v>
                </c:pt>
                <c:pt idx="2">
                  <c:v>147200</c:v>
                </c:pt>
                <c:pt idx="3">
                  <c:v>147200</c:v>
                </c:pt>
                <c:pt idx="4">
                  <c:v>147200</c:v>
                </c:pt>
                <c:pt idx="5">
                  <c:v>147200</c:v>
                </c:pt>
                <c:pt idx="6">
                  <c:v>147200</c:v>
                </c:pt>
                <c:pt idx="7">
                  <c:v>147200</c:v>
                </c:pt>
                <c:pt idx="8">
                  <c:v>147200</c:v>
                </c:pt>
                <c:pt idx="9">
                  <c:v>147200</c:v>
                </c:pt>
                <c:pt idx="10">
                  <c:v>147200</c:v>
                </c:pt>
                <c:pt idx="11">
                  <c:v>147200</c:v>
                </c:pt>
                <c:pt idx="12">
                  <c:v>147200</c:v>
                </c:pt>
                <c:pt idx="13">
                  <c:v>147200</c:v>
                </c:pt>
                <c:pt idx="14">
                  <c:v>147200</c:v>
                </c:pt>
                <c:pt idx="15">
                  <c:v>147200</c:v>
                </c:pt>
                <c:pt idx="16">
                  <c:v>147200</c:v>
                </c:pt>
                <c:pt idx="17">
                  <c:v>147200</c:v>
                </c:pt>
                <c:pt idx="18">
                  <c:v>147200</c:v>
                </c:pt>
                <c:pt idx="19">
                  <c:v>147200</c:v>
                </c:pt>
                <c:pt idx="20">
                  <c:v>147200</c:v>
                </c:pt>
                <c:pt idx="21">
                  <c:v>147200</c:v>
                </c:pt>
                <c:pt idx="22">
                  <c:v>147200</c:v>
                </c:pt>
                <c:pt idx="23">
                  <c:v>147200</c:v>
                </c:pt>
                <c:pt idx="24">
                  <c:v>147200</c:v>
                </c:pt>
                <c:pt idx="25">
                  <c:v>147200</c:v>
                </c:pt>
                <c:pt idx="26">
                  <c:v>147200</c:v>
                </c:pt>
              </c:numCache>
            </c:numRef>
          </c:yVal>
          <c:smooth val="0"/>
          <c:extLst xmlns:c16r2="http://schemas.microsoft.com/office/drawing/2015/06/chart">
            <c:ext xmlns:c16="http://schemas.microsoft.com/office/drawing/2014/chart" uri="{C3380CC4-5D6E-409C-BE32-E72D297353CC}">
              <c16:uniqueId val="{00000003-397A-4EE7-941F-17FB58ACEE62}"/>
            </c:ext>
          </c:extLst>
        </c:ser>
        <c:dLbls>
          <c:showLegendKey val="0"/>
          <c:showVal val="0"/>
          <c:showCatName val="0"/>
          <c:showSerName val="0"/>
          <c:showPercent val="0"/>
          <c:showBubbleSize val="0"/>
        </c:dLbls>
        <c:axId val="406808912"/>
        <c:axId val="406808520"/>
      </c:scatterChart>
      <c:valAx>
        <c:axId val="406808912"/>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8520"/>
        <c:crosses val="autoZero"/>
        <c:crossBetween val="midCat"/>
      </c:valAx>
      <c:valAx>
        <c:axId val="406808520"/>
        <c:scaling>
          <c:orientation val="minMax"/>
          <c:min val="-2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8912"/>
        <c:crossesAt val="0"/>
        <c:crossBetween val="midCat"/>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accent1">
          <a:lumMod val="20000"/>
          <a:lumOff val="80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Velocity</a:t>
            </a:r>
            <a:r>
              <a:rPr lang="en-GB" sz="1600" u="sng" baseline="0"/>
              <a:t> time graph </a:t>
            </a:r>
          </a:p>
        </c:rich>
      </c:tx>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3944775511021168E-2"/>
          <c:y val="9.9541272126066699E-2"/>
          <c:w val="0.94629111492650475"/>
          <c:h val="0.75137942719804462"/>
        </c:manualLayout>
      </c:layout>
      <c:lineChart>
        <c:grouping val="standard"/>
        <c:varyColors val="0"/>
        <c:ser>
          <c:idx val="0"/>
          <c:order val="1"/>
          <c:tx>
            <c:strRef>
              <c:f>Sheet1!$T$4</c:f>
              <c:strCache>
                <c:ptCount val="1"/>
                <c:pt idx="0">
                  <c:v>Velocity (m/s)</c:v>
                </c:pt>
              </c:strCache>
            </c:strRef>
          </c:tx>
          <c:spPr>
            <a:ln w="28575" cap="rnd">
              <a:solidFill>
                <a:schemeClr val="bg2">
                  <a:lumMod val="50000"/>
                </a:schemeClr>
              </a:solidFill>
              <a:round/>
            </a:ln>
            <a:effectLst/>
          </c:spPr>
          <c:marker>
            <c:symbol val="none"/>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Sheet1!$T$5:$T$31</c:f>
              <c:numCache>
                <c:formatCode>General</c:formatCode>
                <c:ptCount val="27"/>
                <c:pt idx="0">
                  <c:v>0</c:v>
                </c:pt>
                <c:pt idx="1">
                  <c:v>17.881090746535538</c:v>
                </c:pt>
                <c:pt idx="2">
                  <c:v>15.645954403218596</c:v>
                </c:pt>
                <c:pt idx="3">
                  <c:v>8.9405453732677689</c:v>
                </c:pt>
                <c:pt idx="4">
                  <c:v>4.4702726866338844</c:v>
                </c:pt>
                <c:pt idx="5">
                  <c:v>2.2351363433169422</c:v>
                </c:pt>
                <c:pt idx="6">
                  <c:v>0.89405453732677687</c:v>
                </c:pt>
                <c:pt idx="7">
                  <c:v>1.3410818059901652</c:v>
                </c:pt>
                <c:pt idx="8">
                  <c:v>13.410818059901654</c:v>
                </c:pt>
                <c:pt idx="9">
                  <c:v>8.9405453732677689</c:v>
                </c:pt>
                <c:pt idx="10">
                  <c:v>6.7054090299508271</c:v>
                </c:pt>
                <c:pt idx="11">
                  <c:v>17.881090746535538</c:v>
                </c:pt>
                <c:pt idx="12">
                  <c:v>15.645954403218596</c:v>
                </c:pt>
                <c:pt idx="13">
                  <c:v>15.645954403218596</c:v>
                </c:pt>
                <c:pt idx="14">
                  <c:v>15.645954403218596</c:v>
                </c:pt>
                <c:pt idx="15">
                  <c:v>17.881090746535538</c:v>
                </c:pt>
                <c:pt idx="16">
                  <c:v>8.9405453732677689</c:v>
                </c:pt>
                <c:pt idx="17">
                  <c:v>11.175681716584711</c:v>
                </c:pt>
                <c:pt idx="18">
                  <c:v>15.645954403218596</c:v>
                </c:pt>
                <c:pt idx="19">
                  <c:v>17.881090746535538</c:v>
                </c:pt>
                <c:pt idx="20">
                  <c:v>17.881090746535538</c:v>
                </c:pt>
                <c:pt idx="21">
                  <c:v>17.881090746535538</c:v>
                </c:pt>
                <c:pt idx="22">
                  <c:v>17.881090746535538</c:v>
                </c:pt>
                <c:pt idx="23">
                  <c:v>11.175681716584711</c:v>
                </c:pt>
                <c:pt idx="24">
                  <c:v>13.410818059901654</c:v>
                </c:pt>
                <c:pt idx="25">
                  <c:v>17.881090746535538</c:v>
                </c:pt>
                <c:pt idx="26">
                  <c:v>17.881090746535538</c:v>
                </c:pt>
              </c:numCache>
            </c:numRef>
          </c:val>
          <c:smooth val="0"/>
          <c:extLst xmlns:c16r2="http://schemas.microsoft.com/office/drawing/2015/06/chart">
            <c:ext xmlns:c16="http://schemas.microsoft.com/office/drawing/2014/chart" uri="{C3380CC4-5D6E-409C-BE32-E72D297353CC}">
              <c16:uniqueId val="{00000000-C916-4B1B-850B-1DAAEFA9915F}"/>
            </c:ext>
          </c:extLst>
        </c:ser>
        <c:ser>
          <c:idx val="2"/>
          <c:order val="2"/>
          <c:tx>
            <c:strRef>
              <c:f>Sheet1!$U$4</c:f>
              <c:strCache>
                <c:ptCount val="1"/>
                <c:pt idx="0">
                  <c:v>Max Velocity m/s</c:v>
                </c:pt>
              </c:strCache>
            </c:strRef>
          </c:tx>
          <c:spPr>
            <a:ln w="28575" cap="rnd">
              <a:solidFill>
                <a:srgbClr val="00B0F0"/>
              </a:solidFill>
              <a:round/>
            </a:ln>
            <a:effectLst/>
          </c:spPr>
          <c:marker>
            <c:symbol val="none"/>
          </c:marker>
          <c:val>
            <c:numRef>
              <c:f>Sheet1!$U$5:$U$31</c:f>
              <c:numCache>
                <c:formatCode>General</c:formatCode>
                <c:ptCount val="27"/>
                <c:pt idx="0">
                  <c:v>53.644799999999996</c:v>
                </c:pt>
                <c:pt idx="1">
                  <c:v>53.644799999999996</c:v>
                </c:pt>
                <c:pt idx="2">
                  <c:v>53.644799999999996</c:v>
                </c:pt>
                <c:pt idx="3">
                  <c:v>53.644799999999996</c:v>
                </c:pt>
                <c:pt idx="4">
                  <c:v>53.644799999999996</c:v>
                </c:pt>
                <c:pt idx="5">
                  <c:v>53.644799999999996</c:v>
                </c:pt>
                <c:pt idx="6">
                  <c:v>53.644799999999996</c:v>
                </c:pt>
                <c:pt idx="7">
                  <c:v>53.644799999999996</c:v>
                </c:pt>
                <c:pt idx="8">
                  <c:v>53.644799999999996</c:v>
                </c:pt>
                <c:pt idx="9">
                  <c:v>53.644799999999996</c:v>
                </c:pt>
                <c:pt idx="10">
                  <c:v>53.644799999999996</c:v>
                </c:pt>
                <c:pt idx="11">
                  <c:v>53.644799999999996</c:v>
                </c:pt>
                <c:pt idx="12">
                  <c:v>53.644799999999996</c:v>
                </c:pt>
                <c:pt idx="13">
                  <c:v>53.644799999999996</c:v>
                </c:pt>
                <c:pt idx="14">
                  <c:v>53.644799999999996</c:v>
                </c:pt>
                <c:pt idx="15">
                  <c:v>53.644799999999996</c:v>
                </c:pt>
                <c:pt idx="16">
                  <c:v>53.644799999999996</c:v>
                </c:pt>
                <c:pt idx="17">
                  <c:v>53.644799999999996</c:v>
                </c:pt>
                <c:pt idx="18">
                  <c:v>53.644799999999996</c:v>
                </c:pt>
                <c:pt idx="19">
                  <c:v>53.644799999999996</c:v>
                </c:pt>
                <c:pt idx="20">
                  <c:v>53.644799999999996</c:v>
                </c:pt>
                <c:pt idx="21">
                  <c:v>53.644799999999996</c:v>
                </c:pt>
                <c:pt idx="22">
                  <c:v>53.644799999999996</c:v>
                </c:pt>
                <c:pt idx="23">
                  <c:v>53.644799999999996</c:v>
                </c:pt>
                <c:pt idx="24">
                  <c:v>53.644799999999996</c:v>
                </c:pt>
                <c:pt idx="25">
                  <c:v>53.644799999999996</c:v>
                </c:pt>
                <c:pt idx="26">
                  <c:v>53.644799999999996</c:v>
                </c:pt>
              </c:numCache>
            </c:numRef>
          </c:val>
          <c:smooth val="0"/>
          <c:extLst xmlns:c16r2="http://schemas.microsoft.com/office/drawing/2015/06/chart">
            <c:ext xmlns:c16="http://schemas.microsoft.com/office/drawing/2014/chart" uri="{C3380CC4-5D6E-409C-BE32-E72D297353CC}">
              <c16:uniqueId val="{00000001-C916-4B1B-850B-1DAAEFA9915F}"/>
            </c:ext>
          </c:extLst>
        </c:ser>
        <c:dLbls>
          <c:showLegendKey val="0"/>
          <c:showVal val="0"/>
          <c:showCatName val="0"/>
          <c:showSerName val="0"/>
          <c:showPercent val="0"/>
          <c:showBubbleSize val="0"/>
        </c:dLbls>
        <c:smooth val="0"/>
        <c:axId val="406807736"/>
        <c:axId val="406811656"/>
        <c:extLst xmlns:c16r2="http://schemas.microsoft.com/office/drawing/2015/06/chart">
          <c:ext xmlns:c15="http://schemas.microsoft.com/office/drawing/2012/chart" uri="{02D57815-91ED-43cb-92C2-25804820EDAC}">
            <c15:filteredLineSeries>
              <c15:ser>
                <c:idx val="1"/>
                <c:order val="0"/>
                <c:tx>
                  <c:strRef>
                    <c:extLst xmlns:c16r2="http://schemas.microsoft.com/office/drawing/2015/06/chart">
                      <c:ext uri="{02D57815-91ED-43cb-92C2-25804820EDAC}">
                        <c15:formulaRef>
                          <c15:sqref>Sheet1!$E$25</c15:sqref>
                        </c15:formulaRef>
                      </c:ext>
                    </c:extLst>
                    <c:strCache>
                      <c:ptCount val="1"/>
                      <c:pt idx="0">
                        <c:v>Max Acceleration m/s²</c:v>
                      </c:pt>
                    </c:strCache>
                  </c:strRef>
                </c:tx>
                <c:spPr>
                  <a:ln w="28575" cap="rnd">
                    <a:solidFill>
                      <a:schemeClr val="accent2"/>
                    </a:solidFill>
                    <a:round/>
                  </a:ln>
                  <a:effectLst/>
                </c:spPr>
                <c:marker>
                  <c:symbol val="none"/>
                </c:marker>
                <c:val>
                  <c:numRef>
                    <c:extLst xmlns:c16r2="http://schemas.microsoft.com/office/drawing/2015/06/chart">
                      <c:ext uri="{02D57815-91ED-43cb-92C2-25804820EDAC}">
                        <c15:formulaRef>
                          <c15:sqref>Sheet1!$F$25</c15:sqref>
                        </c15:formulaRef>
                      </c:ext>
                    </c:extLst>
                    <c:numCache>
                      <c:formatCode>General</c:formatCode>
                      <c:ptCount val="1"/>
                      <c:pt idx="0">
                        <c:v>7.6639999999999997</c:v>
                      </c:pt>
                    </c:numCache>
                  </c:numRef>
                </c:val>
                <c:smooth val="0"/>
                <c:extLst xmlns:c16r2="http://schemas.microsoft.com/office/drawing/2015/06/chart">
                  <c:ext xmlns:c16="http://schemas.microsoft.com/office/drawing/2014/chart" uri="{C3380CC4-5D6E-409C-BE32-E72D297353CC}">
                    <c16:uniqueId val="{00000002-C916-4B1B-850B-1DAAEFA9915F}"/>
                  </c:ext>
                </c:extLst>
              </c15:ser>
            </c15:filteredLineSeries>
          </c:ext>
        </c:extLst>
      </c:lineChart>
      <c:catAx>
        <c:axId val="406807736"/>
        <c:scaling>
          <c:orientation val="minMax"/>
        </c:scaling>
        <c:delete val="0"/>
        <c:axPos val="b"/>
        <c:majorGridlines>
          <c:spPr>
            <a:ln w="9525" cap="flat" cmpd="sng" algn="ctr">
              <a:solidFill>
                <a:schemeClr val="bg1">
                  <a:lumMod val="75000"/>
                </a:schemeClr>
              </a:solidFill>
              <a:round/>
            </a:ln>
            <a:effectLst/>
          </c:spPr>
        </c:majorGridlines>
        <c:minorGridlines>
          <c:spPr>
            <a:ln w="9525" cap="flat" cmpd="sng" algn="ctr">
              <a:solidFill>
                <a:schemeClr val="bg1">
                  <a:lumMod val="75000"/>
                </a:schemeClr>
              </a:solidFill>
              <a:round/>
            </a:ln>
            <a:effectLst/>
          </c:spPr>
        </c:min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aseline="0"/>
                  <a:t>Time (s)</a:t>
                </a:r>
                <a:endParaRPr lang="en-GB" sz="1400"/>
              </a:p>
            </c:rich>
          </c:tx>
          <c:layout>
            <c:manualLayout>
              <c:xMode val="edge"/>
              <c:yMode val="edge"/>
              <c:x val="0.4903196568360409"/>
              <c:y val="0.91046728073035177"/>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11656"/>
        <c:crosses val="autoZero"/>
        <c:auto val="1"/>
        <c:lblAlgn val="ctr"/>
        <c:lblOffset val="100"/>
        <c:tickLblSkip val="1"/>
        <c:noMultiLvlLbl val="0"/>
      </c:catAx>
      <c:valAx>
        <c:axId val="406811656"/>
        <c:scaling>
          <c:orientation val="minMax"/>
          <c:max val="55"/>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bg1">
                  <a:lumMod val="75000"/>
                  <a:alpha val="0"/>
                </a:schemeClr>
              </a:solidFill>
              <a:round/>
            </a:ln>
            <a:effectLst/>
          </c:spPr>
        </c:min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Velocity</a:t>
                </a:r>
                <a:r>
                  <a:rPr lang="en-GB" sz="1400" baseline="0"/>
                  <a:t> (m/s)</a:t>
                </a:r>
                <a:endParaRPr lang="en-GB" sz="140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07736"/>
        <c:crosses val="autoZero"/>
        <c:crossBetween val="between"/>
        <c:majorUnit val="5"/>
      </c:valAx>
      <c:spPr>
        <a:noFill/>
        <a:ln>
          <a:noFill/>
        </a:ln>
        <a:effectLst/>
      </c:spPr>
    </c:plotArea>
    <c:legend>
      <c:legendPos val="r"/>
      <c:layout>
        <c:manualLayout>
          <c:xMode val="edge"/>
          <c:yMode val="edge"/>
          <c:x val="0.78287855987671862"/>
          <c:y val="0.23049079618228804"/>
          <c:w val="8.3691505675457453E-2"/>
          <c:h val="9.1406639993197258E-2"/>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Aerodynamic Resistance</a:t>
            </a:r>
            <a:r>
              <a:rPr lang="en-US" sz="1600" u="sng" baseline="0"/>
              <a:t> Time Graph </a:t>
            </a:r>
            <a:endParaRPr lang="en-US" sz="1600" u="sng"/>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Sheet1!$AA$4</c:f>
              <c:strCache>
                <c:ptCount val="1"/>
                <c:pt idx="0">
                  <c:v>Aerodynamic Resistance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xmlns:c16r2="http://schemas.microsoft.com/office/drawing/2015/06/chart">
            <c:ext xmlns:c16="http://schemas.microsoft.com/office/drawing/2014/chart" uri="{C3380CC4-5D6E-409C-BE32-E72D297353CC}">
              <c16:uniqueId val="{00000000-2D21-40EC-8C03-7B4980796BF1}"/>
            </c:ext>
          </c:extLst>
        </c:ser>
        <c:dLbls>
          <c:showLegendKey val="0"/>
          <c:showVal val="0"/>
          <c:showCatName val="0"/>
          <c:showSerName val="0"/>
          <c:showPercent val="0"/>
          <c:showBubbleSize val="0"/>
        </c:dLbls>
        <c:axId val="406810872"/>
        <c:axId val="406811264"/>
      </c:scatterChart>
      <c:valAx>
        <c:axId val="406810872"/>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49863377376727519"/>
              <c:y val="0.92051157361939684"/>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11264"/>
        <c:crosses val="autoZero"/>
        <c:crossBetween val="midCat"/>
        <c:majorUnit val="5"/>
      </c:valAx>
      <c:valAx>
        <c:axId val="406811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Aerodynamic Resistance (N)</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6810872"/>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Rolling</a:t>
            </a:r>
            <a:r>
              <a:rPr lang="en-GB" sz="1600" u="sng" baseline="0"/>
              <a:t> Resistance Time Graph </a:t>
            </a:r>
            <a:endParaRPr lang="en-GB" sz="1600" u="sng"/>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Sheet1!$AB$4</c:f>
              <c:strCache>
                <c:ptCount val="1"/>
                <c:pt idx="0">
                  <c:v>Rolling Drag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dPt>
            <c:idx val="13"/>
            <c:marker>
              <c:symbol val="circle"/>
              <c:size val="5"/>
              <c:spPr>
                <a:solidFill>
                  <a:schemeClr val="bg2">
                    <a:lumMod val="50000"/>
                  </a:schemeClr>
                </a:solidFill>
                <a:ln w="9525">
                  <a:solidFill>
                    <a:srgbClr val="FF0000"/>
                  </a:solidFill>
                </a:ln>
                <a:effectLst/>
              </c:spPr>
            </c:marker>
            <c:bubble3D val="0"/>
            <c:extLst xmlns:c16r2="http://schemas.microsoft.com/office/drawing/2015/06/chart">
              <c:ext xmlns:c16="http://schemas.microsoft.com/office/drawing/2014/chart" uri="{C3380CC4-5D6E-409C-BE32-E72D297353CC}">
                <c16:uniqueId val="{00000000-CFCA-4057-921B-9659D4F52F8C}"/>
              </c:ext>
            </c:extLst>
          </c:dPt>
          <c:dPt>
            <c:idx val="14"/>
            <c:marker>
              <c:symbol val="circle"/>
              <c:size val="5"/>
              <c:spPr>
                <a:solidFill>
                  <a:schemeClr val="bg2">
                    <a:lumMod val="50000"/>
                  </a:schemeClr>
                </a:solidFill>
                <a:ln w="9525">
                  <a:solidFill>
                    <a:srgbClr val="FF0000"/>
                  </a:solidFill>
                </a:ln>
                <a:effectLst/>
              </c:spPr>
            </c:marker>
            <c:bubble3D val="0"/>
            <c:spPr>
              <a:ln w="25400" cap="rnd">
                <a:solidFill>
                  <a:srgbClr val="FF0000"/>
                </a:solidFill>
                <a:round/>
              </a:ln>
              <a:effectLst/>
            </c:spPr>
            <c:extLst xmlns:c16r2="http://schemas.microsoft.com/office/drawing/2015/06/chart">
              <c:ext xmlns:c16="http://schemas.microsoft.com/office/drawing/2014/chart" uri="{C3380CC4-5D6E-409C-BE32-E72D297353CC}">
                <c16:uniqueId val="{00000002-CFCA-4057-921B-9659D4F52F8C}"/>
              </c:ext>
            </c:extLst>
          </c:dPt>
          <c:dPt>
            <c:idx val="20"/>
            <c:marker>
              <c:symbol val="circle"/>
              <c:size val="5"/>
              <c:spPr>
                <a:solidFill>
                  <a:schemeClr val="bg2">
                    <a:lumMod val="50000"/>
                  </a:schemeClr>
                </a:solidFill>
                <a:ln w="9525">
                  <a:solidFill>
                    <a:srgbClr val="FF0000"/>
                  </a:solidFill>
                </a:ln>
                <a:effectLst/>
              </c:spPr>
            </c:marker>
            <c:bubble3D val="0"/>
            <c:extLst xmlns:c16r2="http://schemas.microsoft.com/office/drawing/2015/06/chart">
              <c:ext xmlns:c16="http://schemas.microsoft.com/office/drawing/2014/chart" uri="{C3380CC4-5D6E-409C-BE32-E72D297353CC}">
                <c16:uniqueId val="{00000003-CFCA-4057-921B-9659D4F52F8C}"/>
              </c:ext>
            </c:extLst>
          </c:dPt>
          <c:dPt>
            <c:idx val="21"/>
            <c:marker>
              <c:symbol val="circle"/>
              <c:size val="5"/>
              <c:spPr>
                <a:solidFill>
                  <a:schemeClr val="bg2">
                    <a:lumMod val="50000"/>
                  </a:schemeClr>
                </a:solidFill>
                <a:ln w="9525">
                  <a:solidFill>
                    <a:srgbClr val="FF0000"/>
                  </a:solidFill>
                </a:ln>
                <a:effectLst/>
              </c:spPr>
            </c:marker>
            <c:bubble3D val="0"/>
            <c:spPr>
              <a:ln w="25400" cap="rnd">
                <a:solidFill>
                  <a:srgbClr val="FF0000"/>
                </a:solidFill>
                <a:round/>
              </a:ln>
              <a:effectLst/>
            </c:spPr>
            <c:extLst xmlns:c16r2="http://schemas.microsoft.com/office/drawing/2015/06/chart">
              <c:ext xmlns:c16="http://schemas.microsoft.com/office/drawing/2014/chart" uri="{C3380CC4-5D6E-409C-BE32-E72D297353CC}">
                <c16:uniqueId val="{00000005-CFCA-4057-921B-9659D4F52F8C}"/>
              </c:ext>
            </c:extLst>
          </c:dPt>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xmlns:c16r2="http://schemas.microsoft.com/office/drawing/2015/06/chart">
            <c:ext xmlns:c16="http://schemas.microsoft.com/office/drawing/2014/chart" uri="{C3380CC4-5D6E-409C-BE32-E72D297353CC}">
              <c16:uniqueId val="{00000006-CFCA-4057-921B-9659D4F52F8C}"/>
            </c:ext>
          </c:extLst>
        </c:ser>
        <c:dLbls>
          <c:showLegendKey val="0"/>
          <c:showVal val="0"/>
          <c:showCatName val="0"/>
          <c:showSerName val="0"/>
          <c:showPercent val="0"/>
          <c:showBubbleSize val="0"/>
        </c:dLbls>
        <c:axId val="461785856"/>
        <c:axId val="461787424"/>
      </c:scatterChart>
      <c:valAx>
        <c:axId val="46178585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7424"/>
        <c:crosses val="autoZero"/>
        <c:crossBetween val="midCat"/>
        <c:majorUnit val="5"/>
      </c:valAx>
      <c:valAx>
        <c:axId val="4617874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Rolling</a:t>
                </a:r>
                <a:r>
                  <a:rPr lang="en-GB" sz="1400" baseline="0"/>
                  <a:t> Resistance (N)</a:t>
                </a:r>
                <a:endParaRPr lang="en-GB" sz="140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5856"/>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Gradient</a:t>
            </a:r>
            <a:r>
              <a:rPr lang="en-GB" sz="1600" u="sng" baseline="0"/>
              <a:t>  Time  Graph </a:t>
            </a:r>
            <a:endParaRPr lang="en-GB" sz="1600" u="sng"/>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Sheet1!$Q$4</c:f>
              <c:strCache>
                <c:ptCount val="1"/>
                <c:pt idx="0">
                  <c:v>Gradiant (°)</c:v>
                </c:pt>
              </c:strCache>
            </c:strRef>
          </c:tx>
          <c:spPr>
            <a:ln w="28575"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Sheet1!$Q$5:$Q$31</c:f>
              <c:numCache>
                <c:formatCode>General</c:formatCode>
                <c:ptCount val="27"/>
                <c:pt idx="0">
                  <c:v>0</c:v>
                </c:pt>
                <c:pt idx="1">
                  <c:v>7.1272878819970913</c:v>
                </c:pt>
                <c:pt idx="2">
                  <c:v>4.1706479118615389</c:v>
                </c:pt>
                <c:pt idx="3">
                  <c:v>-3.9592874494513626</c:v>
                </c:pt>
                <c:pt idx="4">
                  <c:v>-4.0960437581523328</c:v>
                </c:pt>
                <c:pt idx="5">
                  <c:v>-8.0478462473115151</c:v>
                </c:pt>
                <c:pt idx="6">
                  <c:v>-14.477512185929925</c:v>
                </c:pt>
                <c:pt idx="7">
                  <c:v>0</c:v>
                </c:pt>
                <c:pt idx="8">
                  <c:v>-7.4947174539266861</c:v>
                </c:pt>
                <c:pt idx="9">
                  <c:v>-7.3540352103988331</c:v>
                </c:pt>
                <c:pt idx="10">
                  <c:v>0</c:v>
                </c:pt>
                <c:pt idx="11">
                  <c:v>7.3714758533336164</c:v>
                </c:pt>
                <c:pt idx="12">
                  <c:v>6.6997651777601872</c:v>
                </c:pt>
                <c:pt idx="13">
                  <c:v>9.2068962213459002</c:v>
                </c:pt>
                <c:pt idx="14">
                  <c:v>3.8225537292743441</c:v>
                </c:pt>
                <c:pt idx="15">
                  <c:v>6.8921025793463802</c:v>
                </c:pt>
                <c:pt idx="16">
                  <c:v>-1.9932987419679011</c:v>
                </c:pt>
                <c:pt idx="17">
                  <c:v>-5.5088786712030746</c:v>
                </c:pt>
                <c:pt idx="18">
                  <c:v>-7.6140817395938853</c:v>
                </c:pt>
                <c:pt idx="19">
                  <c:v>-8.0478462473115151</c:v>
                </c:pt>
                <c:pt idx="20">
                  <c:v>6.3153155693573835</c:v>
                </c:pt>
                <c:pt idx="21">
                  <c:v>-8.6269265586786386</c:v>
                </c:pt>
                <c:pt idx="22">
                  <c:v>0</c:v>
                </c:pt>
                <c:pt idx="23">
                  <c:v>-6.8477101777828731</c:v>
                </c:pt>
                <c:pt idx="24">
                  <c:v>-3.0708868110748648</c:v>
                </c:pt>
                <c:pt idx="25">
                  <c:v>4.5247019004531444</c:v>
                </c:pt>
                <c:pt idx="26">
                  <c:v>5.7391704772667866</c:v>
                </c:pt>
              </c:numCache>
            </c:numRef>
          </c:val>
          <c:smooth val="0"/>
          <c:extLst xmlns:c16r2="http://schemas.microsoft.com/office/drawing/2015/06/chart">
            <c:ext xmlns:c16="http://schemas.microsoft.com/office/drawing/2014/chart" uri="{C3380CC4-5D6E-409C-BE32-E72D297353CC}">
              <c16:uniqueId val="{00000000-B330-434F-91E4-CC0F6D031D60}"/>
            </c:ext>
          </c:extLst>
        </c:ser>
        <c:dLbls>
          <c:showLegendKey val="0"/>
          <c:showVal val="0"/>
          <c:showCatName val="0"/>
          <c:showSerName val="0"/>
          <c:showPercent val="0"/>
          <c:showBubbleSize val="0"/>
        </c:dLbls>
        <c:marker val="1"/>
        <c:smooth val="0"/>
        <c:axId val="461786248"/>
        <c:axId val="461788992"/>
      </c:lineChart>
      <c:catAx>
        <c:axId val="461786248"/>
        <c:scaling>
          <c:orientation val="minMax"/>
        </c:scaling>
        <c:delete val="0"/>
        <c:axPos val="b"/>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8992"/>
        <c:crosses val="autoZero"/>
        <c:auto val="1"/>
        <c:lblAlgn val="ctr"/>
        <c:lblOffset val="100"/>
        <c:noMultiLvlLbl val="0"/>
      </c:catAx>
      <c:valAx>
        <c:axId val="461788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Gradient (</a:t>
                </a:r>
                <a:r>
                  <a:rPr lang="en-GB" sz="1400">
                    <a:latin typeface="Times New Roman" panose="02020603050405020304" pitchFamily="18" charset="0"/>
                    <a:cs typeface="Times New Roman" panose="02020603050405020304" pitchFamily="18" charset="0"/>
                  </a:rPr>
                  <a:t>º)</a:t>
                </a:r>
                <a:endParaRPr lang="en-GB" sz="140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6248"/>
        <c:crosses val="autoZero"/>
        <c:crossBetween val="between"/>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Total</a:t>
            </a:r>
            <a:r>
              <a:rPr lang="en-GB" sz="1600" u="sng" baseline="0"/>
              <a:t> Vehicle resistance Time Graph </a:t>
            </a:r>
            <a:endParaRPr lang="en-GB" sz="1600" u="sng"/>
          </a:p>
        </c:rich>
      </c:tx>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2835694729328946E-2"/>
          <c:y val="9.8706083469644254E-2"/>
          <c:w val="0.9018622455339268"/>
          <c:h val="0.78312523128852274"/>
        </c:manualLayout>
      </c:layout>
      <c:scatterChart>
        <c:scatterStyle val="lineMarker"/>
        <c:varyColors val="0"/>
        <c:ser>
          <c:idx val="1"/>
          <c:order val="0"/>
          <c:tx>
            <c:strRef>
              <c:f>Sheet1!$AA$4</c:f>
              <c:strCache>
                <c:ptCount val="1"/>
                <c:pt idx="0">
                  <c:v>Aerodynamic Resistance (N)</c:v>
                </c:pt>
              </c:strCache>
            </c:strRef>
          </c:tx>
          <c:spPr>
            <a:ln w="19050" cap="rnd">
              <a:solidFill>
                <a:srgbClr val="0070C0"/>
              </a:solidFill>
              <a:round/>
            </a:ln>
            <a:effectLst/>
          </c:spPr>
          <c:marker>
            <c:symbol val="circle"/>
            <c:size val="5"/>
            <c:spPr>
              <a:solidFill>
                <a:srgbClr val="00B0F0"/>
              </a:solidFill>
              <a:ln w="9525">
                <a:solidFill>
                  <a:srgbClr val="0070C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xmlns:c16r2="http://schemas.microsoft.com/office/drawing/2015/06/chart">
            <c:ext xmlns:c16="http://schemas.microsoft.com/office/drawing/2014/chart" uri="{C3380CC4-5D6E-409C-BE32-E72D297353CC}">
              <c16:uniqueId val="{00000000-8A06-4D87-A969-089D32209370}"/>
            </c:ext>
          </c:extLst>
        </c:ser>
        <c:ser>
          <c:idx val="2"/>
          <c:order val="1"/>
          <c:tx>
            <c:strRef>
              <c:f>Sheet1!$AB$4</c:f>
              <c:strCache>
                <c:ptCount val="1"/>
                <c:pt idx="0">
                  <c:v>Rolling Drag (N)</c:v>
                </c:pt>
              </c:strCache>
            </c:strRef>
          </c:tx>
          <c:spPr>
            <a:ln w="19050" cap="rnd">
              <a:solidFill>
                <a:srgbClr val="C251E1"/>
              </a:solidFill>
              <a:round/>
            </a:ln>
            <a:effectLst/>
          </c:spPr>
          <c:marker>
            <c:symbol val="circle"/>
            <c:size val="5"/>
            <c:spPr>
              <a:solidFill>
                <a:srgbClr val="C251E1"/>
              </a:solidFill>
              <a:ln w="9525">
                <a:solidFill>
                  <a:srgbClr val="C251E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xmlns:c16r2="http://schemas.microsoft.com/office/drawing/2015/06/chart">
            <c:ext xmlns:c16="http://schemas.microsoft.com/office/drawing/2014/chart" uri="{C3380CC4-5D6E-409C-BE32-E72D297353CC}">
              <c16:uniqueId val="{00000001-8A06-4D87-A969-089D32209370}"/>
            </c:ext>
          </c:extLst>
        </c:ser>
        <c:ser>
          <c:idx val="3"/>
          <c:order val="2"/>
          <c:tx>
            <c:strRef>
              <c:f>Sheet1!$AC$4</c:f>
              <c:strCache>
                <c:ptCount val="1"/>
                <c:pt idx="0">
                  <c:v>Grading Resistance (N)</c:v>
                </c:pt>
              </c:strCache>
            </c:strRef>
          </c:tx>
          <c:spPr>
            <a:ln w="22225" cap="rnd">
              <a:solidFill>
                <a:srgbClr val="92D050"/>
              </a:solidFill>
              <a:round/>
            </a:ln>
            <a:effectLst/>
          </c:spPr>
          <c:marker>
            <c:symbol val="circle"/>
            <c:size val="5"/>
            <c:spPr>
              <a:solidFill>
                <a:srgbClr val="92D050"/>
              </a:solidFill>
              <a:ln w="9525">
                <a:solidFill>
                  <a:srgbClr val="92D05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xmlns:c16r2="http://schemas.microsoft.com/office/drawing/2015/06/chart">
            <c:ext xmlns:c16="http://schemas.microsoft.com/office/drawing/2014/chart" uri="{C3380CC4-5D6E-409C-BE32-E72D297353CC}">
              <c16:uniqueId val="{00000002-8A06-4D87-A969-089D32209370}"/>
            </c:ext>
          </c:extLst>
        </c:ser>
        <c:ser>
          <c:idx val="0"/>
          <c:order val="3"/>
          <c:tx>
            <c:strRef>
              <c:f>Sheet1!$AD$4</c:f>
              <c:strCache>
                <c:ptCount val="1"/>
                <c:pt idx="0">
                  <c:v>Total Vehicle Resistance (N)</c:v>
                </c:pt>
              </c:strCache>
            </c:strRef>
          </c:tx>
          <c:spPr>
            <a:ln w="25400" cap="rnd">
              <a:solidFill>
                <a:srgbClr val="C00000"/>
              </a:solidFill>
              <a:round/>
            </a:ln>
            <a:effectLst/>
          </c:spPr>
          <c:marker>
            <c:symbol val="circle"/>
            <c:size val="5"/>
            <c:spPr>
              <a:solidFill>
                <a:srgbClr val="C00000"/>
              </a:solidFill>
              <a:ln w="9525">
                <a:solidFill>
                  <a:srgbClr val="C0000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Sheet1!$AD$5:$AD$31</c:f>
              <c:numCache>
                <c:formatCode>General</c:formatCode>
                <c:ptCount val="27"/>
                <c:pt idx="0">
                  <c:v>451.26</c:v>
                </c:pt>
                <c:pt idx="1">
                  <c:v>4778.4620810602128</c:v>
                </c:pt>
                <c:pt idx="2">
                  <c:v>1654.3630794438363</c:v>
                </c:pt>
                <c:pt idx="3">
                  <c:v>-2960.5250377949328</c:v>
                </c:pt>
                <c:pt idx="4">
                  <c:v>-4075.0490269928764</c:v>
                </c:pt>
                <c:pt idx="5">
                  <c:v>-3208.8180271364517</c:v>
                </c:pt>
                <c:pt idx="6">
                  <c:v>-223.08710321380528</c:v>
                </c:pt>
                <c:pt idx="7">
                  <c:v>451.88688170603348</c:v>
                </c:pt>
                <c:pt idx="8">
                  <c:v>-4178.5665795100795</c:v>
                </c:pt>
                <c:pt idx="9">
                  <c:v>-1622.3873574437487</c:v>
                </c:pt>
                <c:pt idx="10">
                  <c:v>466.93204265083773</c:v>
                </c:pt>
                <c:pt idx="11">
                  <c:v>6102.2050197376129</c:v>
                </c:pt>
                <c:pt idx="12">
                  <c:v>3693.4372403833599</c:v>
                </c:pt>
                <c:pt idx="13">
                  <c:v>-1426.1422707473821</c:v>
                </c:pt>
                <c:pt idx="14">
                  <c:v>-4316.6622179348515</c:v>
                </c:pt>
                <c:pt idx="15">
                  <c:v>-4033.0519079696542</c:v>
                </c:pt>
                <c:pt idx="16">
                  <c:v>-4573.967222089741</c:v>
                </c:pt>
                <c:pt idx="17">
                  <c:v>-5120.7545690354591</c:v>
                </c:pt>
                <c:pt idx="18">
                  <c:v>-1797.5878197009579</c:v>
                </c:pt>
                <c:pt idx="19">
                  <c:v>-3099.1137285805876</c:v>
                </c:pt>
                <c:pt idx="20">
                  <c:v>-2874.1935299691672</c:v>
                </c:pt>
                <c:pt idx="21">
                  <c:v>5022.3237338780937</c:v>
                </c:pt>
                <c:pt idx="22">
                  <c:v>111.44563662817941</c:v>
                </c:pt>
                <c:pt idx="23">
                  <c:v>-1461.5878218237344</c:v>
                </c:pt>
                <c:pt idx="24">
                  <c:v>403.02976833671084</c:v>
                </c:pt>
                <c:pt idx="25">
                  <c:v>6191.5699188143262</c:v>
                </c:pt>
                <c:pt idx="26">
                  <c:v>5418.6734281567642</c:v>
                </c:pt>
              </c:numCache>
            </c:numRef>
          </c:yVal>
          <c:smooth val="0"/>
          <c:extLst xmlns:c16r2="http://schemas.microsoft.com/office/drawing/2015/06/chart">
            <c:ext xmlns:c16="http://schemas.microsoft.com/office/drawing/2014/chart" uri="{C3380CC4-5D6E-409C-BE32-E72D297353CC}">
              <c16:uniqueId val="{00000003-8A06-4D87-A969-089D32209370}"/>
            </c:ext>
          </c:extLst>
        </c:ser>
        <c:dLbls>
          <c:showLegendKey val="0"/>
          <c:showVal val="0"/>
          <c:showCatName val="0"/>
          <c:showSerName val="0"/>
          <c:showPercent val="0"/>
          <c:showBubbleSize val="0"/>
        </c:dLbls>
        <c:axId val="461786640"/>
        <c:axId val="461788600"/>
      </c:scatterChart>
      <c:valAx>
        <c:axId val="461786640"/>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8600"/>
        <c:crosses val="autoZero"/>
        <c:crossBetween val="midCat"/>
        <c:majorUnit val="5"/>
      </c:valAx>
      <c:valAx>
        <c:axId val="4617886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effectLst/>
                  </a:rPr>
                  <a:t>Total Vehicle </a:t>
                </a:r>
                <a:r>
                  <a:rPr lang="en-GB" sz="1400" b="0" i="0" baseline="0">
                    <a:effectLst/>
                  </a:rPr>
                  <a:t>resistance</a:t>
                </a:r>
                <a:r>
                  <a:rPr lang="en-GB" sz="1200" b="0" i="0" baseline="0">
                    <a:effectLst/>
                  </a:rPr>
                  <a:t> (N)</a:t>
                </a:r>
                <a:endParaRPr lang="en-GB" sz="700">
                  <a:effectLst/>
                </a:endParaRPr>
              </a:p>
            </c:rich>
          </c:tx>
          <c:layout>
            <c:manualLayout>
              <c:xMode val="edge"/>
              <c:yMode val="edge"/>
              <c:x val="1.5451744121614529E-2"/>
              <c:y val="0.2789404169294468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6640"/>
        <c:crosses val="autoZero"/>
        <c:crossBetween val="midCat"/>
      </c:valAx>
      <c:spPr>
        <a:noFill/>
        <a:ln>
          <a:noFill/>
        </a:ln>
        <a:effectLst/>
      </c:spPr>
    </c:plotArea>
    <c:legend>
      <c:legendPos val="r"/>
      <c:layout>
        <c:manualLayout>
          <c:xMode val="edge"/>
          <c:yMode val="edge"/>
          <c:x val="0.85175380029693848"/>
          <c:y val="0.60274784390401581"/>
          <c:w val="0.12934406815133184"/>
          <c:h val="0.26096191232874394"/>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b="0" i="0" u="sng" baseline="0">
                <a:effectLst/>
              </a:rPr>
              <a:t>Acceleration Time Graph </a:t>
            </a:r>
            <a:endParaRPr lang="en-GB" sz="1600" u="sng">
              <a:effectLst/>
            </a:endParaRP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722389649695999E-2"/>
          <c:y val="0.15375476731411478"/>
          <c:w val="0.9373621033509395"/>
          <c:h val="0.64780815315628426"/>
        </c:manualLayout>
      </c:layout>
      <c:scatterChart>
        <c:scatterStyle val="lineMarker"/>
        <c:varyColors val="0"/>
        <c:ser>
          <c:idx val="0"/>
          <c:order val="0"/>
          <c:tx>
            <c:strRef>
              <c:f>Sheet1!$X$4</c:f>
              <c:strCache>
                <c:ptCount val="1"/>
                <c:pt idx="0">
                  <c:v>Acceleration m/s²</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Sheet1!$X$5:$X$31</c:f>
              <c:numCache>
                <c:formatCode>General</c:formatCode>
                <c:ptCount val="27"/>
                <c:pt idx="0">
                  <c:v>0</c:v>
                </c:pt>
                <c:pt idx="1">
                  <c:v>5.9209890052933121</c:v>
                </c:pt>
                <c:pt idx="2">
                  <c:v>-0.52986123200778212</c:v>
                </c:pt>
                <c:pt idx="3">
                  <c:v>-1.4273812780617807</c:v>
                </c:pt>
                <c:pt idx="4">
                  <c:v>-1.4273812780617805</c:v>
                </c:pt>
                <c:pt idx="5">
                  <c:v>-0.99916689464324637</c:v>
                </c:pt>
                <c:pt idx="6">
                  <c:v>-0.19983337892864925</c:v>
                </c:pt>
                <c:pt idx="7">
                  <c:v>9.9916689464324623E-2</c:v>
                </c:pt>
                <c:pt idx="8">
                  <c:v>2.3458701004667528</c:v>
                </c:pt>
                <c:pt idx="9">
                  <c:v>-1.5986670314291944</c:v>
                </c:pt>
                <c:pt idx="10">
                  <c:v>-0.74937517098243467</c:v>
                </c:pt>
                <c:pt idx="11">
                  <c:v>3.7704411118613068</c:v>
                </c:pt>
                <c:pt idx="12">
                  <c:v>-2.9142367760428014</c:v>
                </c:pt>
                <c:pt idx="13">
                  <c:v>0</c:v>
                </c:pt>
                <c:pt idx="14">
                  <c:v>0</c:v>
                </c:pt>
                <c:pt idx="15">
                  <c:v>0.79933351571459699</c:v>
                </c:pt>
                <c:pt idx="16">
                  <c:v>-1.7376815559012981</c:v>
                </c:pt>
                <c:pt idx="17">
                  <c:v>0.99916689464324615</c:v>
                </c:pt>
                <c:pt idx="18">
                  <c:v>1.7485420656256816</c:v>
                </c:pt>
                <c:pt idx="19">
                  <c:v>3.9966675785729846</c:v>
                </c:pt>
                <c:pt idx="20">
                  <c:v>0</c:v>
                </c:pt>
                <c:pt idx="21">
                  <c:v>0</c:v>
                </c:pt>
                <c:pt idx="22">
                  <c:v>0</c:v>
                </c:pt>
                <c:pt idx="23">
                  <c:v>-2.8822121960862876</c:v>
                </c:pt>
                <c:pt idx="24">
                  <c:v>1.0705359585463361</c:v>
                </c:pt>
                <c:pt idx="25">
                  <c:v>0.88814835079399657</c:v>
                </c:pt>
                <c:pt idx="26">
                  <c:v>0</c:v>
                </c:pt>
              </c:numCache>
            </c:numRef>
          </c:yVal>
          <c:smooth val="0"/>
          <c:extLst xmlns:c16r2="http://schemas.microsoft.com/office/drawing/2015/06/chart">
            <c:ext xmlns:c16="http://schemas.microsoft.com/office/drawing/2014/chart" uri="{C3380CC4-5D6E-409C-BE32-E72D297353CC}">
              <c16:uniqueId val="{00000000-B433-4023-863D-CA451D473B90}"/>
            </c:ext>
          </c:extLst>
        </c:ser>
        <c:ser>
          <c:idx val="1"/>
          <c:order val="1"/>
          <c:tx>
            <c:strRef>
              <c:f>Sheet1!$E$25</c:f>
              <c:strCache>
                <c:ptCount val="1"/>
                <c:pt idx="0">
                  <c:v>Max Acceleration m/s²</c:v>
                </c:pt>
              </c:strCache>
            </c:strRef>
          </c:tx>
          <c:spPr>
            <a:ln w="28575" cap="rnd">
              <a:solidFill>
                <a:srgbClr val="0070C0"/>
              </a:solidFill>
              <a:round/>
            </a:ln>
            <a:effectLst/>
          </c:spPr>
          <c:marker>
            <c:symbol val="none"/>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Sheet1!$Y$5:$Y$31</c:f>
              <c:numCache>
                <c:formatCode>General</c:formatCode>
                <c:ptCount val="27"/>
                <c:pt idx="0">
                  <c:v>7.6639999999999997</c:v>
                </c:pt>
                <c:pt idx="1">
                  <c:v>7.6639999999999997</c:v>
                </c:pt>
                <c:pt idx="2">
                  <c:v>7.6639999999999997</c:v>
                </c:pt>
                <c:pt idx="3">
                  <c:v>7.6639999999999997</c:v>
                </c:pt>
                <c:pt idx="4">
                  <c:v>7.6639999999999997</c:v>
                </c:pt>
                <c:pt idx="5">
                  <c:v>7.6639999999999997</c:v>
                </c:pt>
                <c:pt idx="6">
                  <c:v>7.6639999999999997</c:v>
                </c:pt>
                <c:pt idx="7">
                  <c:v>7.6639999999999997</c:v>
                </c:pt>
                <c:pt idx="8">
                  <c:v>7.6639999999999997</c:v>
                </c:pt>
                <c:pt idx="9">
                  <c:v>7.6639999999999997</c:v>
                </c:pt>
                <c:pt idx="10">
                  <c:v>7.6639999999999997</c:v>
                </c:pt>
                <c:pt idx="11">
                  <c:v>7.6639999999999997</c:v>
                </c:pt>
                <c:pt idx="12">
                  <c:v>7.6639999999999997</c:v>
                </c:pt>
                <c:pt idx="13">
                  <c:v>7.6639999999999997</c:v>
                </c:pt>
                <c:pt idx="14">
                  <c:v>7.6639999999999997</c:v>
                </c:pt>
                <c:pt idx="15">
                  <c:v>7.6639999999999997</c:v>
                </c:pt>
                <c:pt idx="16">
                  <c:v>7.6639999999999997</c:v>
                </c:pt>
                <c:pt idx="17">
                  <c:v>7.6639999999999997</c:v>
                </c:pt>
                <c:pt idx="18">
                  <c:v>7.6639999999999997</c:v>
                </c:pt>
                <c:pt idx="19">
                  <c:v>7.6639999999999997</c:v>
                </c:pt>
                <c:pt idx="20">
                  <c:v>7.6639999999999997</c:v>
                </c:pt>
                <c:pt idx="21">
                  <c:v>7.6639999999999997</c:v>
                </c:pt>
                <c:pt idx="22">
                  <c:v>7.6639999999999997</c:v>
                </c:pt>
                <c:pt idx="23">
                  <c:v>7.6639999999999997</c:v>
                </c:pt>
                <c:pt idx="24">
                  <c:v>7.6639999999999997</c:v>
                </c:pt>
                <c:pt idx="25">
                  <c:v>7.6639999999999997</c:v>
                </c:pt>
                <c:pt idx="26">
                  <c:v>7.6639999999999997</c:v>
                </c:pt>
              </c:numCache>
            </c:numRef>
          </c:yVal>
          <c:smooth val="0"/>
          <c:extLst xmlns:c16r2="http://schemas.microsoft.com/office/drawing/2015/06/chart">
            <c:ext xmlns:c16="http://schemas.microsoft.com/office/drawing/2014/chart" uri="{C3380CC4-5D6E-409C-BE32-E72D297353CC}">
              <c16:uniqueId val="{00000001-B433-4023-863D-CA451D473B90}"/>
            </c:ext>
          </c:extLst>
        </c:ser>
        <c:dLbls>
          <c:showLegendKey val="0"/>
          <c:showVal val="0"/>
          <c:showCatName val="0"/>
          <c:showSerName val="0"/>
          <c:showPercent val="0"/>
          <c:showBubbleSize val="0"/>
        </c:dLbls>
        <c:axId val="461784288"/>
        <c:axId val="461784680"/>
      </c:scatterChart>
      <c:valAx>
        <c:axId val="461784288"/>
        <c:scaling>
          <c:orientation val="minMax"/>
          <c:max val="68"/>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Time (s)</a:t>
                </a:r>
                <a:endParaRPr lang="en-GB" sz="1400">
                  <a:effectLst/>
                </a:endParaRPr>
              </a:p>
            </c:rich>
          </c:tx>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4680"/>
        <c:crosses val="autoZero"/>
        <c:crossBetween val="midCat"/>
        <c:majorUnit val="2"/>
      </c:valAx>
      <c:valAx>
        <c:axId val="461784680"/>
        <c:scaling>
          <c:orientation val="minMax"/>
          <c:max val="9"/>
          <c:min val="-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Acceleration (m/s</a:t>
                </a:r>
                <a:r>
                  <a:rPr lang="en-GB" sz="1400" b="0" i="0" baseline="0">
                    <a:effectLst/>
                    <a:latin typeface="Times New Roman" panose="02020603050405020304" pitchFamily="18" charset="0"/>
                    <a:cs typeface="Times New Roman" panose="02020603050405020304" pitchFamily="18" charset="0"/>
                  </a:rPr>
                  <a:t>²</a:t>
                </a:r>
                <a:r>
                  <a:rPr lang="en-GB" sz="1400" b="0" i="0" baseline="0">
                    <a:effectLst/>
                  </a:rPr>
                  <a:t>)</a:t>
                </a:r>
                <a:endParaRPr lang="en-GB" sz="1400">
                  <a:effectLst/>
                </a:endParaRP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4288"/>
        <c:crosses val="autoZero"/>
        <c:crossBetween val="midCat"/>
      </c:valAx>
      <c:spPr>
        <a:noFill/>
        <a:ln>
          <a:noFill/>
        </a:ln>
        <a:effectLst/>
      </c:spPr>
    </c:plotArea>
    <c:legend>
      <c:legendPos val="r"/>
      <c:layout>
        <c:manualLayout>
          <c:xMode val="edge"/>
          <c:yMode val="edge"/>
          <c:x val="0.87005860612217745"/>
          <c:y val="0.3154299891638514"/>
          <c:w val="0.10577475411449831"/>
          <c:h val="0.12362727456008613"/>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Grading Resistance Time</a:t>
            </a:r>
            <a:r>
              <a:rPr lang="en-US" sz="1600" u="sng" baseline="0"/>
              <a:t> Graph</a:t>
            </a:r>
          </a:p>
        </c:rich>
      </c:tx>
      <c:layout>
        <c:manualLayout>
          <c:xMode val="edge"/>
          <c:yMode val="edge"/>
          <c:x val="0.37713105774673833"/>
          <c:y val="1.1891700318852068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Sheet1!$AC$4</c:f>
              <c:strCache>
                <c:ptCount val="1"/>
                <c:pt idx="0">
                  <c:v>Grading Resistance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xmlns:c16r2="http://schemas.microsoft.com/office/drawing/2015/06/chart">
            <c:ext xmlns:c16="http://schemas.microsoft.com/office/drawing/2014/chart" uri="{C3380CC4-5D6E-409C-BE32-E72D297353CC}">
              <c16:uniqueId val="{00000000-F1FA-4CAD-8E69-3C3B44884FED}"/>
            </c:ext>
          </c:extLst>
        </c:ser>
        <c:dLbls>
          <c:showLegendKey val="0"/>
          <c:showVal val="0"/>
          <c:showCatName val="0"/>
          <c:showSerName val="0"/>
          <c:showPercent val="0"/>
          <c:showBubbleSize val="0"/>
        </c:dLbls>
        <c:axId val="461783504"/>
        <c:axId val="461785464"/>
      </c:scatterChart>
      <c:valAx>
        <c:axId val="461783504"/>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50221108846265494"/>
              <c:y val="0.90904324014188576"/>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5464"/>
        <c:crosses val="autoZero"/>
        <c:crossBetween val="midCat"/>
        <c:majorUnit val="5"/>
      </c:valAx>
      <c:valAx>
        <c:axId val="4617854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US" sz="1400" b="0" i="0" baseline="0">
                    <a:effectLst/>
                  </a:rPr>
                  <a:t>Grading Resistance (N)</a:t>
                </a:r>
                <a:endParaRPr lang="en-GB" sz="1400">
                  <a:effectLst/>
                </a:endParaRP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3504"/>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2000" u="sng"/>
              <a:t>Height</a:t>
            </a:r>
            <a:r>
              <a:rPr lang="en-GB" sz="2000" u="sng" baseline="0"/>
              <a:t> up the hill in relation to distance along track</a:t>
            </a:r>
            <a:endParaRPr lang="en-GB" sz="2000"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838348533988232E-2"/>
          <c:y val="7.548479473138868E-2"/>
          <c:w val="0.87180672007986204"/>
          <c:h val="0.77591034888230903"/>
        </c:manualLayout>
      </c:layout>
      <c:lineChart>
        <c:grouping val="standard"/>
        <c:varyColors val="0"/>
        <c:ser>
          <c:idx val="0"/>
          <c:order val="0"/>
          <c:spPr>
            <a:ln w="28575"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a:scene3d>
                <a:camera prst="orthographicFront"/>
                <a:lightRig rig="threePt" dir="t"/>
              </a:scene3d>
              <a:sp3d prstMaterial="dkEdge"/>
            </c:spPr>
          </c:marker>
          <c:dPt>
            <c:idx val="5"/>
            <c:marker>
              <c:symbol val="circle"/>
              <c:size val="5"/>
              <c:spPr>
                <a:solidFill>
                  <a:schemeClr val="bg2">
                    <a:lumMod val="50000"/>
                  </a:schemeClr>
                </a:solidFill>
                <a:ln w="9525">
                  <a:solidFill>
                    <a:schemeClr val="accent2">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xmlns:c16r2="http://schemas.microsoft.com/office/drawing/2015/06/chart">
              <c:ext xmlns:c16="http://schemas.microsoft.com/office/drawing/2014/chart" uri="{C3380CC4-5D6E-409C-BE32-E72D297353CC}">
                <c16:uniqueId val="{00000001-3D39-4EE0-91E9-A134F2F2C3A5}"/>
              </c:ext>
            </c:extLst>
          </c:dPt>
          <c:dPt>
            <c:idx val="6"/>
            <c:marker>
              <c:symbol val="circle"/>
              <c:size val="5"/>
              <c:spPr>
                <a:solidFill>
                  <a:schemeClr val="accent2">
                    <a:lumMod val="60000"/>
                    <a:lumOff val="40000"/>
                  </a:schemeClr>
                </a:solidFill>
                <a:ln w="9525">
                  <a:solidFill>
                    <a:schemeClr val="accent2">
                      <a:lumMod val="75000"/>
                    </a:schemeClr>
                  </a:solidFill>
                </a:ln>
                <a:effectLst/>
                <a:scene3d>
                  <a:camera prst="orthographicFront"/>
                  <a:lightRig rig="threePt" dir="t"/>
                </a:scene3d>
                <a:sp3d prstMaterial="dkEdge"/>
              </c:spPr>
            </c:marker>
            <c:bubble3D val="0"/>
            <c:spPr>
              <a:ln w="34925" cap="rnd">
                <a:solidFill>
                  <a:schemeClr val="accent2">
                    <a:lumMod val="60000"/>
                    <a:lumOff val="40000"/>
                  </a:schemeClr>
                </a:solidFill>
                <a:round/>
              </a:ln>
              <a:effectLst/>
            </c:spPr>
            <c:extLst xmlns:c16r2="http://schemas.microsoft.com/office/drawing/2015/06/chart">
              <c:ext xmlns:c16="http://schemas.microsoft.com/office/drawing/2014/chart" uri="{C3380CC4-5D6E-409C-BE32-E72D297353CC}">
                <c16:uniqueId val="{00000003-3D39-4EE0-91E9-A134F2F2C3A5}"/>
              </c:ext>
            </c:extLst>
          </c:dPt>
          <c:dPt>
            <c:idx val="7"/>
            <c:marker>
              <c:symbol val="circle"/>
              <c:size val="5"/>
              <c:spPr>
                <a:solidFill>
                  <a:schemeClr val="bg2">
                    <a:lumMod val="50000"/>
                  </a:schemeClr>
                </a:solidFill>
                <a:ln w="9525">
                  <a:solidFill>
                    <a:schemeClr val="accent2">
                      <a:lumMod val="60000"/>
                      <a:lumOff val="40000"/>
                    </a:schemeClr>
                  </a:solidFill>
                </a:ln>
                <a:effectLst/>
                <a:scene3d>
                  <a:camera prst="orthographicFront"/>
                  <a:lightRig rig="threePt" dir="t"/>
                </a:scene3d>
                <a:sp3d prstMaterial="dkEdge"/>
              </c:spPr>
            </c:marker>
            <c:bubble3D val="0"/>
            <c:spPr>
              <a:ln w="34925" cap="rnd">
                <a:solidFill>
                  <a:schemeClr val="accent2">
                    <a:lumMod val="60000"/>
                    <a:lumOff val="40000"/>
                  </a:schemeClr>
                </a:solidFill>
                <a:round/>
              </a:ln>
              <a:effectLst/>
            </c:spPr>
            <c:extLst xmlns:c16r2="http://schemas.microsoft.com/office/drawing/2015/06/chart">
              <c:ext xmlns:c16="http://schemas.microsoft.com/office/drawing/2014/chart" uri="{C3380CC4-5D6E-409C-BE32-E72D297353CC}">
                <c16:uniqueId val="{00000005-3D39-4EE0-91E9-A134F2F2C3A5}"/>
              </c:ext>
            </c:extLst>
          </c:dPt>
          <c:dPt>
            <c:idx val="12"/>
            <c:marker>
              <c:symbol val="circle"/>
              <c:size val="5"/>
              <c:spPr>
                <a:solidFill>
                  <a:schemeClr val="bg2">
                    <a:lumMod val="50000"/>
                  </a:schemeClr>
                </a:solidFill>
                <a:ln w="9525">
                  <a:solidFill>
                    <a:schemeClr val="accent1">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xmlns:c16r2="http://schemas.microsoft.com/office/drawing/2015/06/chart">
              <c:ext xmlns:c16="http://schemas.microsoft.com/office/drawing/2014/chart" uri="{C3380CC4-5D6E-409C-BE32-E72D297353CC}">
                <c16:uniqueId val="{00000007-3D39-4EE0-91E9-A134F2F2C3A5}"/>
              </c:ext>
            </c:extLst>
          </c:dPt>
          <c:dPt>
            <c:idx val="13"/>
            <c:marker>
              <c:symbol val="circle"/>
              <c:size val="5"/>
              <c:spPr>
                <a:solidFill>
                  <a:srgbClr val="FFB15B"/>
                </a:solidFill>
                <a:ln w="9525">
                  <a:solidFill>
                    <a:srgbClr val="D06D00"/>
                  </a:solidFill>
                </a:ln>
                <a:effectLst/>
                <a:scene3d>
                  <a:camera prst="orthographicFront"/>
                  <a:lightRig rig="threePt" dir="t"/>
                </a:scene3d>
                <a:sp3d prstMaterial="dkEdge"/>
              </c:spPr>
            </c:marker>
            <c:bubble3D val="0"/>
            <c:spPr>
              <a:ln w="34925" cap="rnd">
                <a:solidFill>
                  <a:srgbClr val="FFB15B"/>
                </a:solidFill>
                <a:round/>
              </a:ln>
              <a:effectLst/>
            </c:spPr>
            <c:extLst xmlns:c16r2="http://schemas.microsoft.com/office/drawing/2015/06/chart">
              <c:ext xmlns:c16="http://schemas.microsoft.com/office/drawing/2014/chart" uri="{C3380CC4-5D6E-409C-BE32-E72D297353CC}">
                <c16:uniqueId val="{00000009-3D39-4EE0-91E9-A134F2F2C3A5}"/>
              </c:ext>
            </c:extLst>
          </c:dPt>
          <c:dPt>
            <c:idx val="14"/>
            <c:marker>
              <c:symbol val="circle"/>
              <c:size val="5"/>
              <c:spPr>
                <a:solidFill>
                  <a:schemeClr val="bg2">
                    <a:lumMod val="50000"/>
                  </a:schemeClr>
                </a:solidFill>
                <a:ln w="9525">
                  <a:solidFill>
                    <a:schemeClr val="accent1">
                      <a:lumMod val="60000"/>
                      <a:lumOff val="40000"/>
                    </a:schemeClr>
                  </a:solidFill>
                </a:ln>
                <a:effectLst/>
                <a:scene3d>
                  <a:camera prst="orthographicFront"/>
                  <a:lightRig rig="threePt" dir="t"/>
                </a:scene3d>
                <a:sp3d prstMaterial="dkEdge"/>
              </c:spPr>
            </c:marker>
            <c:bubble3D val="0"/>
            <c:spPr>
              <a:ln w="34925" cap="rnd">
                <a:solidFill>
                  <a:srgbClr val="FFB15B"/>
                </a:solidFill>
                <a:round/>
              </a:ln>
              <a:effectLst/>
            </c:spPr>
            <c:extLst xmlns:c16r2="http://schemas.microsoft.com/office/drawing/2015/06/chart">
              <c:ext xmlns:c16="http://schemas.microsoft.com/office/drawing/2014/chart" uri="{C3380CC4-5D6E-409C-BE32-E72D297353CC}">
                <c16:uniqueId val="{0000000B-3D39-4EE0-91E9-A134F2F2C3A5}"/>
              </c:ext>
            </c:extLst>
          </c:dPt>
          <c:dPt>
            <c:idx val="19"/>
            <c:marker>
              <c:symbol val="circle"/>
              <c:size val="5"/>
              <c:spPr>
                <a:solidFill>
                  <a:schemeClr val="bg2">
                    <a:lumMod val="50000"/>
                  </a:schemeClr>
                </a:solidFill>
                <a:ln w="9525">
                  <a:solidFill>
                    <a:schemeClr val="accent3">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xmlns:c16r2="http://schemas.microsoft.com/office/drawing/2015/06/chart">
              <c:ext xmlns:c16="http://schemas.microsoft.com/office/drawing/2014/chart" uri="{C3380CC4-5D6E-409C-BE32-E72D297353CC}">
                <c16:uniqueId val="{0000000D-3D39-4EE0-91E9-A134F2F2C3A5}"/>
              </c:ext>
            </c:extLst>
          </c:dPt>
          <c:dPt>
            <c:idx val="20"/>
            <c:marker>
              <c:symbol val="circle"/>
              <c:size val="5"/>
              <c:spPr>
                <a:solidFill>
                  <a:schemeClr val="accent3">
                    <a:lumMod val="60000"/>
                    <a:lumOff val="40000"/>
                  </a:schemeClr>
                </a:solidFill>
                <a:ln w="9525">
                  <a:solidFill>
                    <a:schemeClr val="accent3">
                      <a:lumMod val="75000"/>
                    </a:schemeClr>
                  </a:solidFill>
                </a:ln>
                <a:effectLst/>
                <a:scene3d>
                  <a:camera prst="orthographicFront"/>
                  <a:lightRig rig="threePt" dir="t"/>
                </a:scene3d>
                <a:sp3d prstMaterial="dkEdge"/>
              </c:spPr>
            </c:marker>
            <c:bubble3D val="0"/>
            <c:spPr>
              <a:ln w="34925" cap="rnd">
                <a:solidFill>
                  <a:schemeClr val="accent3">
                    <a:lumMod val="60000"/>
                    <a:lumOff val="40000"/>
                  </a:schemeClr>
                </a:solidFill>
                <a:round/>
              </a:ln>
              <a:effectLst/>
            </c:spPr>
            <c:extLst xmlns:c16r2="http://schemas.microsoft.com/office/drawing/2015/06/chart">
              <c:ext xmlns:c16="http://schemas.microsoft.com/office/drawing/2014/chart" uri="{C3380CC4-5D6E-409C-BE32-E72D297353CC}">
                <c16:uniqueId val="{0000000F-3D39-4EE0-91E9-A134F2F2C3A5}"/>
              </c:ext>
            </c:extLst>
          </c:dPt>
          <c:dPt>
            <c:idx val="21"/>
            <c:marker>
              <c:symbol val="circle"/>
              <c:size val="5"/>
              <c:spPr>
                <a:solidFill>
                  <a:schemeClr val="bg2">
                    <a:lumMod val="50000"/>
                  </a:schemeClr>
                </a:solidFill>
                <a:ln w="9525">
                  <a:solidFill>
                    <a:schemeClr val="accent3">
                      <a:lumMod val="60000"/>
                      <a:lumOff val="40000"/>
                    </a:schemeClr>
                  </a:solidFill>
                </a:ln>
                <a:effectLst/>
                <a:scene3d>
                  <a:camera prst="orthographicFront"/>
                  <a:lightRig rig="threePt" dir="t"/>
                </a:scene3d>
                <a:sp3d prstMaterial="dkEdge"/>
              </c:spPr>
            </c:marker>
            <c:bubble3D val="0"/>
            <c:spPr>
              <a:ln w="34925" cap="rnd">
                <a:solidFill>
                  <a:schemeClr val="accent3">
                    <a:lumMod val="60000"/>
                    <a:lumOff val="40000"/>
                  </a:schemeClr>
                </a:solidFill>
                <a:round/>
              </a:ln>
              <a:effectLst/>
            </c:spPr>
            <c:extLst xmlns:c16r2="http://schemas.microsoft.com/office/drawing/2015/06/chart">
              <c:ext xmlns:c16="http://schemas.microsoft.com/office/drawing/2014/chart" uri="{C3380CC4-5D6E-409C-BE32-E72D297353CC}">
                <c16:uniqueId val="{00000011-3D39-4EE0-91E9-A134F2F2C3A5}"/>
              </c:ext>
            </c:extLst>
          </c:dPt>
          <c:cat>
            <c:numRef>
              <c:f>'CW1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cat>
          <c:val>
            <c:numRef>
              <c:f>'CW1 sheet'!$O$2:$O$28</c:f>
              <c:numCache>
                <c:formatCode>0.00</c:formatCode>
                <c:ptCount val="27"/>
                <c:pt idx="0">
                  <c:v>8</c:v>
                </c:pt>
                <c:pt idx="1">
                  <c:v>14.7</c:v>
                </c:pt>
                <c:pt idx="2">
                  <c:v>19.5</c:v>
                </c:pt>
                <c:pt idx="3">
                  <c:v>16.600000000000001</c:v>
                </c:pt>
                <c:pt idx="4">
                  <c:v>15.600000000000001</c:v>
                </c:pt>
                <c:pt idx="5">
                  <c:v>14.900000000000002</c:v>
                </c:pt>
                <c:pt idx="6">
                  <c:v>13.400000000000002</c:v>
                </c:pt>
                <c:pt idx="7">
                  <c:v>13.400000000000002</c:v>
                </c:pt>
                <c:pt idx="8">
                  <c:v>4.4000000000000021</c:v>
                </c:pt>
                <c:pt idx="9">
                  <c:v>1.200000000000002</c:v>
                </c:pt>
                <c:pt idx="10">
                  <c:v>1.200000000000002</c:v>
                </c:pt>
                <c:pt idx="11">
                  <c:v>8.0000000000000018</c:v>
                </c:pt>
                <c:pt idx="12">
                  <c:v>9.4000000000000021</c:v>
                </c:pt>
                <c:pt idx="13">
                  <c:v>10.200000000000003</c:v>
                </c:pt>
                <c:pt idx="14">
                  <c:v>10.600000000000003</c:v>
                </c:pt>
                <c:pt idx="15">
                  <c:v>16.600000000000001</c:v>
                </c:pt>
                <c:pt idx="16">
                  <c:v>15.000000000000002</c:v>
                </c:pt>
                <c:pt idx="17">
                  <c:v>12.600000000000001</c:v>
                </c:pt>
                <c:pt idx="18">
                  <c:v>7.3000000000000016</c:v>
                </c:pt>
                <c:pt idx="19">
                  <c:v>5.9000000000000021</c:v>
                </c:pt>
                <c:pt idx="20">
                  <c:v>7.1000000000000023</c:v>
                </c:pt>
                <c:pt idx="21">
                  <c:v>5.6000000000000023</c:v>
                </c:pt>
                <c:pt idx="22">
                  <c:v>5.6000000000000023</c:v>
                </c:pt>
                <c:pt idx="23">
                  <c:v>2.4000000000000021</c:v>
                </c:pt>
                <c:pt idx="24">
                  <c:v>0.90000000000000213</c:v>
                </c:pt>
                <c:pt idx="25">
                  <c:v>8.0000000000000018</c:v>
                </c:pt>
                <c:pt idx="26">
                  <c:v>8.1000000000000014</c:v>
                </c:pt>
              </c:numCache>
            </c:numRef>
          </c:val>
          <c:smooth val="0"/>
          <c:extLst xmlns:c16r2="http://schemas.microsoft.com/office/drawing/2015/06/chart">
            <c:ext xmlns:c16="http://schemas.microsoft.com/office/drawing/2014/chart" uri="{C3380CC4-5D6E-409C-BE32-E72D297353CC}">
              <c16:uniqueId val="{00000012-3D39-4EE0-91E9-A134F2F2C3A5}"/>
            </c:ext>
          </c:extLst>
        </c:ser>
        <c:dLbls>
          <c:showLegendKey val="0"/>
          <c:showVal val="0"/>
          <c:showCatName val="0"/>
          <c:showSerName val="0"/>
          <c:showPercent val="0"/>
          <c:showBubbleSize val="0"/>
        </c:dLbls>
        <c:marker val="1"/>
        <c:smooth val="0"/>
        <c:axId val="461789384"/>
        <c:axId val="461790168"/>
      </c:lineChart>
      <c:catAx>
        <c:axId val="4617893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Distance</a:t>
                </a:r>
                <a:r>
                  <a:rPr lang="en-GB" sz="2000" baseline="0"/>
                  <a:t> along track (m)</a:t>
                </a:r>
                <a:endParaRPr lang="en-GB" sz="2000"/>
              </a:p>
            </c:rich>
          </c:tx>
          <c:layout>
            <c:manualLayout>
              <c:xMode val="edge"/>
              <c:yMode val="edge"/>
              <c:x val="0.4467462759270836"/>
              <c:y val="0.9057916146958534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in"/>
        <c:minorTickMark val="in"/>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461790168"/>
        <c:crosses val="autoZero"/>
        <c:auto val="1"/>
        <c:lblAlgn val="ctr"/>
        <c:lblOffset val="1"/>
        <c:tickLblSkip val="1"/>
        <c:noMultiLvlLbl val="0"/>
      </c:catAx>
      <c:valAx>
        <c:axId val="461790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Height</a:t>
                </a:r>
                <a:r>
                  <a:rPr lang="en-GB" sz="2000" baseline="0"/>
                  <a:t> up the hill (m)</a:t>
                </a:r>
                <a:endParaRPr lang="en-GB" sz="2000"/>
              </a:p>
            </c:rich>
          </c:tx>
          <c:layout>
            <c:manualLayout>
              <c:xMode val="edge"/>
              <c:yMode val="edge"/>
              <c:x val="4.4945089001162319E-3"/>
              <c:y val="0.3229593199070304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out"/>
        <c:minorTickMark val="none"/>
        <c:tickLblPos val="nextTo"/>
        <c:spPr>
          <a:noFill/>
          <a:ln>
            <a:noFill/>
          </a:ln>
          <a:effectLst/>
        </c:spPr>
        <c:txPr>
          <a:bodyPr rot="-60000000" spcFirstLastPara="1" vertOverflow="ellipsis" vert="horz" wrap="square" anchor="ctr" anchorCtr="0"/>
          <a:lstStyle/>
          <a:p>
            <a:pPr>
              <a:defRPr sz="1600" b="0" i="0" u="none" strike="noStrike" kern="1200" baseline="0">
                <a:solidFill>
                  <a:schemeClr val="tx1">
                    <a:lumMod val="65000"/>
                    <a:lumOff val="35000"/>
                  </a:schemeClr>
                </a:solidFill>
                <a:latin typeface="+mn-lt"/>
                <a:ea typeface="+mn-ea"/>
                <a:cs typeface="+mn-cs"/>
              </a:defRPr>
            </a:pPr>
            <a:endParaRPr lang="en-US"/>
          </a:p>
        </c:txPr>
        <c:crossAx val="461789384"/>
        <c:crossesAt val="1"/>
        <c:crossBetween val="between"/>
        <c:majorUnit val="2"/>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Total</a:t>
            </a:r>
            <a:r>
              <a:rPr lang="en-GB" u="sng" baseline="0"/>
              <a:t> resistive power and Max power available against distance </a:t>
            </a:r>
            <a:endParaRPr lang="en-GB"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'CW1 sheet'!$AC$1</c:f>
              <c:strCache>
                <c:ptCount val="1"/>
                <c:pt idx="0">
                  <c:v>Total Resistive Power (W)</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'CW1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xVal>
          <c:yVal>
            <c:numRef>
              <c:f>'CW1 sheet'!$AC$2:$AC$28</c:f>
              <c:numCache>
                <c:formatCode>0.00</c:formatCode>
                <c:ptCount val="27"/>
                <c:pt idx="0">
                  <c:v>0</c:v>
                </c:pt>
                <c:pt idx="1">
                  <c:v>25261.045506687758</c:v>
                </c:pt>
                <c:pt idx="2">
                  <c:v>16572.054404609589</c:v>
                </c:pt>
                <c:pt idx="3">
                  <c:v>873.48472328924379</c:v>
                </c:pt>
                <c:pt idx="4">
                  <c:v>275.46297083136136</c:v>
                </c:pt>
                <c:pt idx="5">
                  <c:v>-851.24868557819525</c:v>
                </c:pt>
                <c:pt idx="6">
                  <c:v>-968.91049254218103</c:v>
                </c:pt>
                <c:pt idx="7">
                  <c:v>684.95335052217274</c:v>
                </c:pt>
                <c:pt idx="8">
                  <c:v>-3472.184452851991</c:v>
                </c:pt>
                <c:pt idx="9">
                  <c:v>-2487.3544107550752</c:v>
                </c:pt>
                <c:pt idx="10">
                  <c:v>3525.6507106672179</c:v>
                </c:pt>
                <c:pt idx="11">
                  <c:v>25743.095534380951</c:v>
                </c:pt>
                <c:pt idx="12">
                  <c:v>20955.730797505923</c:v>
                </c:pt>
                <c:pt idx="13">
                  <c:v>17297.628428261396</c:v>
                </c:pt>
                <c:pt idx="14">
                  <c:v>7986.0951247298808</c:v>
                </c:pt>
                <c:pt idx="15">
                  <c:v>24796.524570910671</c:v>
                </c:pt>
                <c:pt idx="16">
                  <c:v>2826.9119786251113</c:v>
                </c:pt>
                <c:pt idx="17">
                  <c:v>-653.67175002366378</c:v>
                </c:pt>
                <c:pt idx="18">
                  <c:v>-3902.7375753148208</c:v>
                </c:pt>
                <c:pt idx="19">
                  <c:v>-4848.3569668631299</c:v>
                </c:pt>
                <c:pt idx="20">
                  <c:v>15675.022559287961</c:v>
                </c:pt>
                <c:pt idx="21">
                  <c:v>-15110.046729938676</c:v>
                </c:pt>
                <c:pt idx="22">
                  <c:v>1992.7695418539008</c:v>
                </c:pt>
                <c:pt idx="23">
                  <c:v>-2583.2202524823128</c:v>
                </c:pt>
                <c:pt idx="24">
                  <c:v>3100.7146578136339</c:v>
                </c:pt>
                <c:pt idx="25">
                  <c:v>20109.086037160116</c:v>
                </c:pt>
                <c:pt idx="26">
                  <c:v>22516.149068004997</c:v>
                </c:pt>
              </c:numCache>
            </c:numRef>
          </c:yVal>
          <c:smooth val="0"/>
          <c:extLst xmlns:c16r2="http://schemas.microsoft.com/office/drawing/2015/06/chart">
            <c:ext xmlns:c16="http://schemas.microsoft.com/office/drawing/2014/chart" uri="{C3380CC4-5D6E-409C-BE32-E72D297353CC}">
              <c16:uniqueId val="{00000000-8C18-4F36-A67A-84389D26734C}"/>
            </c:ext>
          </c:extLst>
        </c:ser>
        <c:ser>
          <c:idx val="1"/>
          <c:order val="1"/>
          <c:tx>
            <c:strRef>
              <c:f>'CW1 sheet'!$D$18</c:f>
              <c:strCache>
                <c:ptCount val="1"/>
                <c:pt idx="0">
                  <c:v>Max Kw output </c:v>
                </c:pt>
              </c:strCache>
            </c:strRef>
          </c:tx>
          <c:spPr>
            <a:ln w="19050" cap="rnd">
              <a:solidFill>
                <a:srgbClr val="002060"/>
              </a:solidFill>
              <a:round/>
            </a:ln>
            <a:effectLst/>
          </c:spPr>
          <c:marker>
            <c:symbol val="circle"/>
            <c:size val="5"/>
            <c:spPr>
              <a:noFill/>
              <a:ln w="9525">
                <a:noFill/>
              </a:ln>
              <a:effectLst/>
            </c:spPr>
          </c:marker>
          <c:xVal>
            <c:numRef>
              <c:f>'CW1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xVal>
          <c:yVal>
            <c:numRef>
              <c:f>'CW1 sheet'!$AE$2:$AE$28</c:f>
              <c:numCache>
                <c:formatCode>0.00</c:formatCode>
                <c:ptCount val="27"/>
                <c:pt idx="0">
                  <c:v>147200</c:v>
                </c:pt>
                <c:pt idx="1">
                  <c:v>147200</c:v>
                </c:pt>
                <c:pt idx="2">
                  <c:v>147200</c:v>
                </c:pt>
                <c:pt idx="3">
                  <c:v>147200</c:v>
                </c:pt>
                <c:pt idx="4">
                  <c:v>147200</c:v>
                </c:pt>
                <c:pt idx="5">
                  <c:v>147200</c:v>
                </c:pt>
                <c:pt idx="6">
                  <c:v>147200</c:v>
                </c:pt>
                <c:pt idx="7">
                  <c:v>147200</c:v>
                </c:pt>
                <c:pt idx="8">
                  <c:v>147200</c:v>
                </c:pt>
                <c:pt idx="9">
                  <c:v>147200</c:v>
                </c:pt>
                <c:pt idx="10">
                  <c:v>147200</c:v>
                </c:pt>
                <c:pt idx="11">
                  <c:v>147200</c:v>
                </c:pt>
                <c:pt idx="12">
                  <c:v>147200</c:v>
                </c:pt>
                <c:pt idx="13">
                  <c:v>147200</c:v>
                </c:pt>
                <c:pt idx="14">
                  <c:v>147200</c:v>
                </c:pt>
                <c:pt idx="15">
                  <c:v>147200</c:v>
                </c:pt>
                <c:pt idx="16">
                  <c:v>147200</c:v>
                </c:pt>
                <c:pt idx="17">
                  <c:v>147200</c:v>
                </c:pt>
                <c:pt idx="18">
                  <c:v>147200</c:v>
                </c:pt>
                <c:pt idx="19">
                  <c:v>147200</c:v>
                </c:pt>
                <c:pt idx="20">
                  <c:v>147200</c:v>
                </c:pt>
                <c:pt idx="21">
                  <c:v>147200</c:v>
                </c:pt>
                <c:pt idx="22">
                  <c:v>147200</c:v>
                </c:pt>
                <c:pt idx="23">
                  <c:v>147200</c:v>
                </c:pt>
                <c:pt idx="24">
                  <c:v>147200</c:v>
                </c:pt>
                <c:pt idx="25">
                  <c:v>147200</c:v>
                </c:pt>
                <c:pt idx="26">
                  <c:v>147200</c:v>
                </c:pt>
              </c:numCache>
            </c:numRef>
          </c:yVal>
          <c:smooth val="0"/>
          <c:extLst xmlns:c16r2="http://schemas.microsoft.com/office/drawing/2015/06/chart">
            <c:ext xmlns:c16="http://schemas.microsoft.com/office/drawing/2014/chart" uri="{C3380CC4-5D6E-409C-BE32-E72D297353CC}">
              <c16:uniqueId val="{00000001-8C18-4F36-A67A-84389D26734C}"/>
            </c:ext>
          </c:extLst>
        </c:ser>
        <c:dLbls>
          <c:showLegendKey val="0"/>
          <c:showVal val="0"/>
          <c:showCatName val="0"/>
          <c:showSerName val="0"/>
          <c:showPercent val="0"/>
          <c:showBubbleSize val="0"/>
        </c:dLbls>
        <c:axId val="461783112"/>
        <c:axId val="462054688"/>
      </c:scatterChart>
      <c:valAx>
        <c:axId val="461783112"/>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4688"/>
        <c:crosses val="autoZero"/>
        <c:crossBetween val="midCat"/>
      </c:valAx>
      <c:valAx>
        <c:axId val="462054688"/>
        <c:scaling>
          <c:orientation val="minMax"/>
          <c:min val="-2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783112"/>
        <c:crossesAt val="0"/>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accent1">
          <a:lumMod val="20000"/>
          <a:lumOff val="80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'FIXING SHEET'!$U$35</c:f>
              <c:strCache>
                <c:ptCount val="1"/>
                <c:pt idx="0">
                  <c:v>Height up hill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'FIXING SHEET'!$R$36:$R$104</c:f>
              <c:numCache>
                <c:formatCode>0.00</c:formatCode>
                <c:ptCount val="69"/>
                <c:pt idx="0">
                  <c:v>0</c:v>
                </c:pt>
                <c:pt idx="1">
                  <c:v>4.5</c:v>
                </c:pt>
                <c:pt idx="2">
                  <c:v>14.833</c:v>
                </c:pt>
                <c:pt idx="3">
                  <c:v>31.265999999999998</c:v>
                </c:pt>
                <c:pt idx="4">
                  <c:v>53.998999999999995</c:v>
                </c:pt>
                <c:pt idx="5">
                  <c:v>74.831999999999994</c:v>
                </c:pt>
                <c:pt idx="6">
                  <c:v>93.015000000000001</c:v>
                </c:pt>
                <c:pt idx="7">
                  <c:v>107.86800000000001</c:v>
                </c:pt>
                <c:pt idx="8">
                  <c:v>120.001</c:v>
                </c:pt>
                <c:pt idx="9">
                  <c:v>131.23400000000001</c:v>
                </c:pt>
                <c:pt idx="10">
                  <c:v>141.827</c:v>
                </c:pt>
                <c:pt idx="11">
                  <c:v>152.08000000000001</c:v>
                </c:pt>
                <c:pt idx="12">
                  <c:v>162.00300000000001</c:v>
                </c:pt>
                <c:pt idx="13">
                  <c:v>169.42600000000002</c:v>
                </c:pt>
                <c:pt idx="14">
                  <c:v>173.94900000000001</c:v>
                </c:pt>
                <c:pt idx="15">
                  <c:v>175.47200000000001</c:v>
                </c:pt>
                <c:pt idx="16">
                  <c:v>175.995</c:v>
                </c:pt>
                <c:pt idx="17">
                  <c:v>177.518</c:v>
                </c:pt>
                <c:pt idx="18">
                  <c:v>181.001</c:v>
                </c:pt>
                <c:pt idx="19">
                  <c:v>182.88400000000001</c:v>
                </c:pt>
                <c:pt idx="20">
                  <c:v>183.46700000000001</c:v>
                </c:pt>
                <c:pt idx="21">
                  <c:v>183.55</c:v>
                </c:pt>
                <c:pt idx="22">
                  <c:v>183.834</c:v>
                </c:pt>
                <c:pt idx="23">
                  <c:v>184.488</c:v>
                </c:pt>
                <c:pt idx="24">
                  <c:v>185.542</c:v>
                </c:pt>
                <c:pt idx="25">
                  <c:v>186.99600000000001</c:v>
                </c:pt>
                <c:pt idx="26">
                  <c:v>188.47300000000001</c:v>
                </c:pt>
                <c:pt idx="27">
                  <c:v>189.97300000000001</c:v>
                </c:pt>
                <c:pt idx="28">
                  <c:v>191.48500000000001</c:v>
                </c:pt>
                <c:pt idx="29">
                  <c:v>193.00300000000001</c:v>
                </c:pt>
                <c:pt idx="30">
                  <c:v>197.12100000000001</c:v>
                </c:pt>
                <c:pt idx="31">
                  <c:v>206.13900000000001</c:v>
                </c:pt>
                <c:pt idx="32">
                  <c:v>220.45700000000002</c:v>
                </c:pt>
                <c:pt idx="33">
                  <c:v>239.47500000000002</c:v>
                </c:pt>
                <c:pt idx="34">
                  <c:v>262.00300000000004</c:v>
                </c:pt>
                <c:pt idx="35">
                  <c:v>277.88600000000002</c:v>
                </c:pt>
                <c:pt idx="36">
                  <c:v>286.21900000000005</c:v>
                </c:pt>
                <c:pt idx="37">
                  <c:v>287.00200000000007</c:v>
                </c:pt>
                <c:pt idx="38">
                  <c:v>290.28500000000008</c:v>
                </c:pt>
                <c:pt idx="39">
                  <c:v>296.86800000000005</c:v>
                </c:pt>
                <c:pt idx="40">
                  <c:v>307.00100000000003</c:v>
                </c:pt>
                <c:pt idx="41">
                  <c:v>320.83400000000006</c:v>
                </c:pt>
                <c:pt idx="42">
                  <c:v>338.46700000000004</c:v>
                </c:pt>
                <c:pt idx="43">
                  <c:v>360.00000000000006</c:v>
                </c:pt>
                <c:pt idx="44">
                  <c:v>383.00300000000004</c:v>
                </c:pt>
                <c:pt idx="45">
                  <c:v>402.70600000000002</c:v>
                </c:pt>
                <c:pt idx="46">
                  <c:v>419.30900000000003</c:v>
                </c:pt>
                <c:pt idx="47">
                  <c:v>433.00200000000001</c:v>
                </c:pt>
                <c:pt idx="48">
                  <c:v>444.69499999999999</c:v>
                </c:pt>
                <c:pt idx="49">
                  <c:v>454.88799999999998</c:v>
                </c:pt>
                <c:pt idx="50">
                  <c:v>463.88099999999997</c:v>
                </c:pt>
                <c:pt idx="51">
                  <c:v>471.87399999999997</c:v>
                </c:pt>
                <c:pt idx="52">
                  <c:v>478.99699999999996</c:v>
                </c:pt>
                <c:pt idx="53">
                  <c:v>486.61999999999995</c:v>
                </c:pt>
                <c:pt idx="54">
                  <c:v>494.94299999999993</c:v>
                </c:pt>
                <c:pt idx="55">
                  <c:v>503.99599999999992</c:v>
                </c:pt>
                <c:pt idx="56">
                  <c:v>519.99899999999991</c:v>
                </c:pt>
                <c:pt idx="57">
                  <c:v>544.00199999999995</c:v>
                </c:pt>
                <c:pt idx="58">
                  <c:v>563.99499999999989</c:v>
                </c:pt>
                <c:pt idx="59">
                  <c:v>573.99799999999993</c:v>
                </c:pt>
                <c:pt idx="60">
                  <c:v>587.48599999999988</c:v>
                </c:pt>
                <c:pt idx="61">
                  <c:v>600.00399999999991</c:v>
                </c:pt>
                <c:pt idx="62">
                  <c:v>613.52199999999993</c:v>
                </c:pt>
                <c:pt idx="63">
                  <c:v>627.99999999999989</c:v>
                </c:pt>
                <c:pt idx="64">
                  <c:v>643.47799999999984</c:v>
                </c:pt>
                <c:pt idx="65">
                  <c:v>660.15599999999984</c:v>
                </c:pt>
                <c:pt idx="66">
                  <c:v>678.23399999999981</c:v>
                </c:pt>
                <c:pt idx="67">
                  <c:v>697.91199999999981</c:v>
                </c:pt>
                <c:pt idx="68">
                  <c:v>719.38999999999976</c:v>
                </c:pt>
              </c:numCache>
            </c:numRef>
          </c:xVal>
          <c:yVal>
            <c:numRef>
              <c:f>'FIXING SHEET'!$U$36:$U$104</c:f>
              <c:numCache>
                <c:formatCode>0.00</c:formatCode>
                <c:ptCount val="69"/>
                <c:pt idx="0">
                  <c:v>8</c:v>
                </c:pt>
                <c:pt idx="1">
                  <c:v>8.0628298115261536</c:v>
                </c:pt>
                <c:pt idx="2">
                  <c:v>8.2071010209705424</c:v>
                </c:pt>
                <c:pt idx="3">
                  <c:v>8.453748321467712</c:v>
                </c:pt>
                <c:pt idx="4">
                  <c:v>11.274324247393638</c:v>
                </c:pt>
                <c:pt idx="5">
                  <c:v>13.859159432578824</c:v>
                </c:pt>
                <c:pt idx="6">
                  <c:v>16.115198321467712</c:v>
                </c:pt>
                <c:pt idx="7">
                  <c:v>17.958070543689935</c:v>
                </c:pt>
                <c:pt idx="8">
                  <c:v>18.840470543689936</c:v>
                </c:pt>
                <c:pt idx="9">
                  <c:v>19.65741599823539</c:v>
                </c:pt>
                <c:pt idx="10">
                  <c:v>20.427815998235388</c:v>
                </c:pt>
                <c:pt idx="11">
                  <c:v>21.173488725508115</c:v>
                </c:pt>
                <c:pt idx="12">
                  <c:v>20.488329201698591</c:v>
                </c:pt>
                <c:pt idx="13">
                  <c:v>19.975788725508114</c:v>
                </c:pt>
                <c:pt idx="14">
                  <c:v>19.663486344555732</c:v>
                </c:pt>
                <c:pt idx="15">
                  <c:v>19.55832682074621</c:v>
                </c:pt>
                <c:pt idx="16">
                  <c:v>19.520969677889067</c:v>
                </c:pt>
                <c:pt idx="17">
                  <c:v>19.412183963603351</c:v>
                </c:pt>
                <c:pt idx="18">
                  <c:v>18.924563963603351</c:v>
                </c:pt>
                <c:pt idx="19">
                  <c:v>18.660943963603351</c:v>
                </c:pt>
                <c:pt idx="20">
                  <c:v>18.57932396360335</c:v>
                </c:pt>
                <c:pt idx="21">
                  <c:v>18.56770396360335</c:v>
                </c:pt>
                <c:pt idx="22">
                  <c:v>18.527943963603349</c:v>
                </c:pt>
                <c:pt idx="23">
                  <c:v>18.436383963603348</c:v>
                </c:pt>
                <c:pt idx="24">
                  <c:v>18.288823963603349</c:v>
                </c:pt>
                <c:pt idx="25">
                  <c:v>17.925323963603347</c:v>
                </c:pt>
                <c:pt idx="26">
                  <c:v>17.556073963603346</c:v>
                </c:pt>
                <c:pt idx="27">
                  <c:v>17.181073963603346</c:v>
                </c:pt>
                <c:pt idx="28">
                  <c:v>16.803073963603346</c:v>
                </c:pt>
                <c:pt idx="29">
                  <c:v>16.803073963603346</c:v>
                </c:pt>
                <c:pt idx="30">
                  <c:v>16.803073963603346</c:v>
                </c:pt>
                <c:pt idx="31">
                  <c:v>16.803073963603346</c:v>
                </c:pt>
                <c:pt idx="32">
                  <c:v>16.803073963603346</c:v>
                </c:pt>
                <c:pt idx="33">
                  <c:v>16.803073963603346</c:v>
                </c:pt>
                <c:pt idx="34">
                  <c:v>13.864639180994651</c:v>
                </c:pt>
                <c:pt idx="35">
                  <c:v>11.792943528820738</c:v>
                </c:pt>
                <c:pt idx="36">
                  <c:v>10.706030485342477</c:v>
                </c:pt>
                <c:pt idx="37">
                  <c:v>10.605806485342478</c:v>
                </c:pt>
                <c:pt idx="38">
                  <c:v>10.185582485342479</c:v>
                </c:pt>
                <c:pt idx="39">
                  <c:v>9.3429584853424785</c:v>
                </c:pt>
                <c:pt idx="40">
                  <c:v>9.3429584853424785</c:v>
                </c:pt>
                <c:pt idx="41">
                  <c:v>9.3429584853424785</c:v>
                </c:pt>
                <c:pt idx="42">
                  <c:v>9.3429584853424785</c:v>
                </c:pt>
                <c:pt idx="43">
                  <c:v>12.105132939106793</c:v>
                </c:pt>
                <c:pt idx="44">
                  <c:v>15.786842979348014</c:v>
                </c:pt>
                <c:pt idx="45">
                  <c:v>17.099500082967303</c:v>
                </c:pt>
                <c:pt idx="46">
                  <c:v>19.755980082967302</c:v>
                </c:pt>
                <c:pt idx="47">
                  <c:v>21.398641221821041</c:v>
                </c:pt>
                <c:pt idx="48">
                  <c:v>22.801375224349105</c:v>
                </c:pt>
                <c:pt idx="49">
                  <c:v>24.024163874632912</c:v>
                </c:pt>
                <c:pt idx="50">
                  <c:v>25.102996243121311</c:v>
                </c:pt>
                <c:pt idx="51">
                  <c:v>26.061865043446872</c:v>
                </c:pt>
                <c:pt idx="52">
                  <c:v>25.814518372918428</c:v>
                </c:pt>
                <c:pt idx="53">
                  <c:v>25.549809167606295</c:v>
                </c:pt>
                <c:pt idx="54">
                  <c:v>25.260792413596995</c:v>
                </c:pt>
                <c:pt idx="55">
                  <c:v>24.391528056904249</c:v>
                </c:pt>
                <c:pt idx="56">
                  <c:v>22.854928310946661</c:v>
                </c:pt>
                <c:pt idx="57">
                  <c:v>19.676225711032117</c:v>
                </c:pt>
                <c:pt idx="58">
                  <c:v>16.876461576149687</c:v>
                </c:pt>
                <c:pt idx="59">
                  <c:v>15.475669266779962</c:v>
                </c:pt>
                <c:pt idx="60">
                  <c:v>13.586847246508157</c:v>
                </c:pt>
                <c:pt idx="61">
                  <c:v>12.046108322320217</c:v>
                </c:pt>
                <c:pt idx="62">
                  <c:v>10.38228752209873</c:v>
                </c:pt>
                <c:pt idx="63">
                  <c:v>9.6069041447486807</c:v>
                </c:pt>
                <c:pt idx="64">
                  <c:v>8.7779647943809458</c:v>
                </c:pt>
                <c:pt idx="65">
                  <c:v>7.884758276391989</c:v>
                </c:pt>
                <c:pt idx="66">
                  <c:v>6.916573396178272</c:v>
                </c:pt>
                <c:pt idx="67">
                  <c:v>5.8626989591362584</c:v>
                </c:pt>
                <c:pt idx="68">
                  <c:v>7.9958885441301364</c:v>
                </c:pt>
              </c:numCache>
            </c:numRef>
          </c:yVal>
          <c:smooth val="0"/>
          <c:extLst xmlns:c16r2="http://schemas.microsoft.com/office/drawing/2015/06/chart">
            <c:ext xmlns:c16="http://schemas.microsoft.com/office/drawing/2014/chart" uri="{C3380CC4-5D6E-409C-BE32-E72D297353CC}">
              <c16:uniqueId val="{00000000-27A2-4307-B7EF-C7EC7C72F44F}"/>
            </c:ext>
          </c:extLst>
        </c:ser>
        <c:dLbls>
          <c:showLegendKey val="0"/>
          <c:showVal val="0"/>
          <c:showCatName val="0"/>
          <c:showSerName val="0"/>
          <c:showPercent val="0"/>
          <c:showBubbleSize val="0"/>
        </c:dLbls>
        <c:axId val="462059000"/>
        <c:axId val="462058216"/>
      </c:scatterChart>
      <c:valAx>
        <c:axId val="462059000"/>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8216"/>
        <c:crosses val="autoZero"/>
        <c:crossBetween val="midCat"/>
      </c:valAx>
      <c:valAx>
        <c:axId val="462058216"/>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900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Velocity</a:t>
            </a:r>
            <a:r>
              <a:rPr lang="en-GB" sz="1600" u="sng" baseline="0"/>
              <a:t> time graph </a:t>
            </a:r>
          </a:p>
        </c:rich>
      </c:tx>
      <c:layout/>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3944775511021168E-2"/>
          <c:y val="9.9541272126066699E-2"/>
          <c:w val="0.94629111492650475"/>
          <c:h val="0.75137942719804462"/>
        </c:manualLayout>
      </c:layout>
      <c:lineChart>
        <c:grouping val="standard"/>
        <c:varyColors val="0"/>
        <c:ser>
          <c:idx val="1"/>
          <c:order val="0"/>
          <c:tx>
            <c:strRef>
              <c:f>Sheet1!$E$25</c:f>
              <c:strCache>
                <c:ptCount val="1"/>
                <c:pt idx="0">
                  <c:v>Max Acceleration m/s²</c:v>
                </c:pt>
              </c:strCache>
              <c:extLst xmlns:c15="http://schemas.microsoft.com/office/drawing/2012/chart" xmlns:c16r2="http://schemas.microsoft.com/office/drawing/2015/06/chart"/>
            </c:strRef>
          </c:tx>
          <c:spPr>
            <a:ln w="28575" cap="rnd">
              <a:solidFill>
                <a:schemeClr val="accent2"/>
              </a:solidFill>
              <a:round/>
            </a:ln>
            <a:effectLst/>
          </c:spPr>
          <c:marker>
            <c:symbol val="none"/>
          </c:marker>
          <c:cat>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cat>
          <c:val>
            <c:numRef>
              <c:f>Sheet1!$F$25</c:f>
              <c:numCache>
                <c:formatCode>General</c:formatCode>
                <c:ptCount val="1"/>
                <c:pt idx="0">
                  <c:v>7.6639999999999997</c:v>
                </c:pt>
              </c:numCache>
              <c:extLst xmlns:c15="http://schemas.microsoft.com/office/drawing/2012/chart" xmlns:c16r2="http://schemas.microsoft.com/office/drawing/2015/06/chart"/>
            </c:numRef>
          </c:val>
          <c:smooth val="0"/>
          <c:extLst xmlns:c15="http://schemas.microsoft.com/office/drawing/2012/chart" xmlns:c16r2="http://schemas.microsoft.com/office/drawing/2015/06/chart">
            <c:ext xmlns:c16="http://schemas.microsoft.com/office/drawing/2014/chart" uri="{C3380CC4-5D6E-409C-BE32-E72D297353CC}">
              <c16:uniqueId val="{00000002-EF1C-42F2-B881-40954DE309BF}"/>
            </c:ext>
          </c:extLst>
        </c:ser>
        <c:ser>
          <c:idx val="0"/>
          <c:order val="1"/>
          <c:tx>
            <c:strRef>
              <c:f>'CW2 Sheet '!$O$1</c:f>
              <c:strCache>
                <c:ptCount val="1"/>
                <c:pt idx="0">
                  <c:v>Speed  (m/s)</c:v>
                </c:pt>
              </c:strCache>
            </c:strRef>
          </c:tx>
          <c:spPr>
            <a:ln w="28575" cap="rnd">
              <a:solidFill>
                <a:schemeClr val="accent1"/>
              </a:solidFill>
              <a:round/>
            </a:ln>
            <a:effectLst/>
          </c:spPr>
          <c:marker>
            <c:symbol val="none"/>
          </c:marker>
          <c:cat>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cat>
          <c:val>
            <c:numRef>
              <c:f>'CW2 Sheet '!$O$2:$O$72</c:f>
              <c:numCache>
                <c:formatCode>General</c:formatCode>
                <c:ptCount val="71"/>
                <c:pt idx="0">
                  <c:v>0</c:v>
                </c:pt>
                <c:pt idx="1">
                  <c:v>4.5</c:v>
                </c:pt>
                <c:pt idx="2">
                  <c:v>10.4</c:v>
                </c:pt>
                <c:pt idx="3">
                  <c:v>16.5</c:v>
                </c:pt>
                <c:pt idx="4">
                  <c:v>22.7</c:v>
                </c:pt>
                <c:pt idx="5">
                  <c:v>20.8</c:v>
                </c:pt>
                <c:pt idx="6">
                  <c:v>18.150000000000002</c:v>
                </c:pt>
                <c:pt idx="7">
                  <c:v>14.820000000000002</c:v>
                </c:pt>
                <c:pt idx="8">
                  <c:v>12.100000000000001</c:v>
                </c:pt>
                <c:pt idx="9">
                  <c:v>11.200000000000001</c:v>
                </c:pt>
                <c:pt idx="10">
                  <c:v>10.56</c:v>
                </c:pt>
                <c:pt idx="11">
                  <c:v>10.220000000000001</c:v>
                </c:pt>
                <c:pt idx="12">
                  <c:v>9.89</c:v>
                </c:pt>
                <c:pt idx="13">
                  <c:v>7.3900000000000006</c:v>
                </c:pt>
                <c:pt idx="14">
                  <c:v>4.49</c:v>
                </c:pt>
                <c:pt idx="15">
                  <c:v>1.4900000000000002</c:v>
                </c:pt>
                <c:pt idx="16">
                  <c:v>0.49000000000000021</c:v>
                </c:pt>
                <c:pt idx="17">
                  <c:v>1.4900000000000002</c:v>
                </c:pt>
                <c:pt idx="18">
                  <c:v>3.45</c:v>
                </c:pt>
                <c:pt idx="19">
                  <c:v>1.85</c:v>
                </c:pt>
                <c:pt idx="20">
                  <c:v>0.55000000000000004</c:v>
                </c:pt>
                <c:pt idx="21">
                  <c:v>5.0000000000000044E-2</c:v>
                </c:pt>
                <c:pt idx="22">
                  <c:v>0.25100000000000006</c:v>
                </c:pt>
                <c:pt idx="23">
                  <c:v>0.621</c:v>
                </c:pt>
                <c:pt idx="24">
                  <c:v>1.0209999999999999</c:v>
                </c:pt>
                <c:pt idx="25">
                  <c:v>1.4209999999999998</c:v>
                </c:pt>
                <c:pt idx="26">
                  <c:v>1.4439999999999997</c:v>
                </c:pt>
                <c:pt idx="27">
                  <c:v>1.4669999999999996</c:v>
                </c:pt>
                <c:pt idx="28">
                  <c:v>1.4789999999999996</c:v>
                </c:pt>
                <c:pt idx="29">
                  <c:v>1.4849999999999997</c:v>
                </c:pt>
                <c:pt idx="30">
                  <c:v>4.085</c:v>
                </c:pt>
                <c:pt idx="31">
                  <c:v>8.9849999999999994</c:v>
                </c:pt>
                <c:pt idx="32">
                  <c:v>14.285</c:v>
                </c:pt>
                <c:pt idx="33">
                  <c:v>15.785</c:v>
                </c:pt>
                <c:pt idx="34">
                  <c:v>14.984999999999999</c:v>
                </c:pt>
                <c:pt idx="35">
                  <c:v>13.475</c:v>
                </c:pt>
                <c:pt idx="36">
                  <c:v>10.675000000000001</c:v>
                </c:pt>
                <c:pt idx="37">
                  <c:v>7.5750000000000011</c:v>
                </c:pt>
                <c:pt idx="38">
                  <c:v>5.5750000000000011</c:v>
                </c:pt>
                <c:pt idx="39">
                  <c:v>5.9750000000000014</c:v>
                </c:pt>
                <c:pt idx="40">
                  <c:v>6.8750000000000018</c:v>
                </c:pt>
                <c:pt idx="41">
                  <c:v>8.1750000000000025</c:v>
                </c:pt>
                <c:pt idx="42">
                  <c:v>12.675000000000002</c:v>
                </c:pt>
                <c:pt idx="43">
                  <c:v>17.175000000000004</c:v>
                </c:pt>
                <c:pt idx="44">
                  <c:v>21.475000000000005</c:v>
                </c:pt>
                <c:pt idx="45">
                  <c:v>22.975000000000005</c:v>
                </c:pt>
                <c:pt idx="46">
                  <c:v>20.275000000000006</c:v>
                </c:pt>
                <c:pt idx="47">
                  <c:v>17.375000000000007</c:v>
                </c:pt>
                <c:pt idx="48">
                  <c:v>14.475000000000007</c:v>
                </c:pt>
                <c:pt idx="49">
                  <c:v>12.475000000000007</c:v>
                </c:pt>
                <c:pt idx="50">
                  <c:v>10.475000000000007</c:v>
                </c:pt>
                <c:pt idx="51">
                  <c:v>8.5750000000000064</c:v>
                </c:pt>
                <c:pt idx="52">
                  <c:v>6.9750000000000068</c:v>
                </c:pt>
                <c:pt idx="53">
                  <c:v>5.4750000000000068</c:v>
                </c:pt>
                <c:pt idx="54">
                  <c:v>6.7750000000000066</c:v>
                </c:pt>
                <c:pt idx="55">
                  <c:v>8.2750000000000057</c:v>
                </c:pt>
                <c:pt idx="56">
                  <c:v>10.675000000000006</c:v>
                </c:pt>
                <c:pt idx="57">
                  <c:v>13.675000000000006</c:v>
                </c:pt>
                <c:pt idx="58">
                  <c:v>17.075000000000006</c:v>
                </c:pt>
                <c:pt idx="59">
                  <c:v>20.675000000000008</c:v>
                </c:pt>
                <c:pt idx="60">
                  <c:v>20.675000000000008</c:v>
                </c:pt>
                <c:pt idx="61">
                  <c:v>20.675000000000008</c:v>
                </c:pt>
                <c:pt idx="62">
                  <c:v>17.175000000000008</c:v>
                </c:pt>
                <c:pt idx="63">
                  <c:v>13.675000000000008</c:v>
                </c:pt>
                <c:pt idx="64">
                  <c:v>10.375000000000007</c:v>
                </c:pt>
                <c:pt idx="65">
                  <c:v>11.375000000000007</c:v>
                </c:pt>
                <c:pt idx="66">
                  <c:v>12.375000000000007</c:v>
                </c:pt>
                <c:pt idx="67">
                  <c:v>13.375000000000007</c:v>
                </c:pt>
                <c:pt idx="68">
                  <c:v>14.375000000000007</c:v>
                </c:pt>
                <c:pt idx="69">
                  <c:v>15.375000000000007</c:v>
                </c:pt>
                <c:pt idx="70">
                  <c:v>16.375000000000007</c:v>
                </c:pt>
              </c:numCache>
            </c:numRef>
          </c:val>
          <c:smooth val="0"/>
          <c:extLst xmlns:c16r2="http://schemas.microsoft.com/office/drawing/2015/06/chart">
            <c:ext xmlns:c16="http://schemas.microsoft.com/office/drawing/2014/chart" uri="{C3380CC4-5D6E-409C-BE32-E72D297353CC}">
              <c16:uniqueId val="{00000000-EF1C-42F2-B881-40954DE309BF}"/>
            </c:ext>
          </c:extLst>
        </c:ser>
        <c:ser>
          <c:idx val="2"/>
          <c:order val="2"/>
          <c:tx>
            <c:strRef>
              <c:f>Sheet1!$U$4</c:f>
              <c:strCache>
                <c:ptCount val="1"/>
                <c:pt idx="0">
                  <c:v>Max Velocity m/s</c:v>
                </c:pt>
              </c:strCache>
            </c:strRef>
          </c:tx>
          <c:spPr>
            <a:ln w="28575" cap="rnd">
              <a:solidFill>
                <a:srgbClr val="00B0F0"/>
              </a:solidFill>
              <a:round/>
            </a:ln>
            <a:effectLst/>
          </c:spPr>
          <c:marker>
            <c:symbol val="none"/>
          </c:marker>
          <c:cat>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cat>
          <c:val>
            <c:numLit>
              <c:formatCode>General</c:formatCode>
              <c:ptCount val="1"/>
              <c:pt idx="0">
                <c:v>53.644799999999996</c:v>
              </c:pt>
            </c:numLit>
          </c:val>
          <c:smooth val="0"/>
          <c:extLst xmlns:c16r2="http://schemas.microsoft.com/office/drawing/2015/06/chart">
            <c:ext xmlns:c16="http://schemas.microsoft.com/office/drawing/2014/chart" uri="{C3380CC4-5D6E-409C-BE32-E72D297353CC}">
              <c16:uniqueId val="{00000001-EF1C-42F2-B881-40954DE309BF}"/>
            </c:ext>
          </c:extLst>
        </c:ser>
        <c:dLbls>
          <c:showLegendKey val="0"/>
          <c:showVal val="0"/>
          <c:showCatName val="0"/>
          <c:showSerName val="0"/>
          <c:showPercent val="0"/>
          <c:showBubbleSize val="0"/>
        </c:dLbls>
        <c:smooth val="0"/>
        <c:axId val="462056648"/>
        <c:axId val="462059392"/>
        <c:extLst xmlns:c16r2="http://schemas.microsoft.com/office/drawing/2015/06/chart"/>
      </c:lineChart>
      <c:catAx>
        <c:axId val="462056648"/>
        <c:scaling>
          <c:orientation val="minMax"/>
        </c:scaling>
        <c:delete val="0"/>
        <c:axPos val="b"/>
        <c:majorGridlines>
          <c:spPr>
            <a:ln w="9525" cap="flat" cmpd="sng" algn="ctr">
              <a:solidFill>
                <a:schemeClr val="bg1">
                  <a:lumMod val="75000"/>
                </a:schemeClr>
              </a:solidFill>
              <a:round/>
            </a:ln>
            <a:effectLst/>
          </c:spPr>
        </c:majorGridlines>
        <c:minorGridlines>
          <c:spPr>
            <a:ln w="9525" cap="flat" cmpd="sng" algn="ctr">
              <a:solidFill>
                <a:schemeClr val="bg1">
                  <a:lumMod val="75000"/>
                </a:schemeClr>
              </a:solidFill>
              <a:round/>
            </a:ln>
            <a:effectLst/>
          </c:spPr>
        </c:min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aseline="0"/>
                  <a:t>Time (s)</a:t>
                </a:r>
                <a:endParaRPr lang="en-GB" sz="1400"/>
              </a:p>
            </c:rich>
          </c:tx>
          <c:layout>
            <c:manualLayout>
              <c:xMode val="edge"/>
              <c:yMode val="edge"/>
              <c:x val="0.4903196568360409"/>
              <c:y val="0.91046728073035177"/>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9392"/>
        <c:crosses val="autoZero"/>
        <c:auto val="1"/>
        <c:lblAlgn val="ctr"/>
        <c:lblOffset val="100"/>
        <c:tickLblSkip val="1"/>
        <c:noMultiLvlLbl val="0"/>
      </c:catAx>
      <c:valAx>
        <c:axId val="462059392"/>
        <c:scaling>
          <c:orientation val="minMax"/>
          <c:max val="55"/>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bg1">
                  <a:lumMod val="75000"/>
                  <a:alpha val="0"/>
                </a:schemeClr>
              </a:solidFill>
              <a:round/>
            </a:ln>
            <a:effectLst/>
          </c:spPr>
        </c:min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Velocity</a:t>
                </a:r>
                <a:r>
                  <a:rPr lang="en-GB" sz="1400" baseline="0"/>
                  <a:t> (m/s)</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6648"/>
        <c:crosses val="autoZero"/>
        <c:crossBetween val="between"/>
        <c:majorUnit val="5"/>
      </c:valAx>
      <c:spPr>
        <a:noFill/>
        <a:ln>
          <a:noFill/>
        </a:ln>
        <a:effectLst/>
      </c:spPr>
    </c:plotArea>
    <c:legend>
      <c:legendPos val="r"/>
      <c:layout>
        <c:manualLayout>
          <c:xMode val="edge"/>
          <c:yMode val="edge"/>
          <c:x val="0.78287855987671862"/>
          <c:y val="0.23049079618228804"/>
          <c:w val="8.3691505675457453E-2"/>
          <c:h val="9.1406639993197258E-2"/>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Aerodynamic Resistance</a:t>
            </a:r>
            <a:r>
              <a:rPr lang="en-US" sz="1600" u="sng" baseline="0"/>
              <a:t> Time Graph </a:t>
            </a:r>
            <a:endParaRPr lang="en-US"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'CW2 Sheet '!$X$1</c:f>
              <c:strCache>
                <c:ptCount val="1"/>
                <c:pt idx="0">
                  <c:v>aerodynamic resistance N</c:v>
                </c:pt>
              </c:strCache>
            </c:strRef>
          </c:tx>
          <c:spPr>
            <a:ln w="19050" cap="rnd">
              <a:solidFill>
                <a:schemeClr val="accent1"/>
              </a:solidFill>
              <a:round/>
            </a:ln>
            <a:effectLst/>
          </c:spPr>
          <c:marker>
            <c:symbol val="circle"/>
            <c:size val="5"/>
            <c:spPr>
              <a:solidFill>
                <a:schemeClr val="bg2">
                  <a:lumMod val="50000"/>
                </a:schemeClr>
              </a:solidFill>
              <a:ln w="9525">
                <a:solidFill>
                  <a:schemeClr val="bg2">
                    <a:lumMod val="50000"/>
                  </a:schemeClr>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'!$X$2:$X$72</c:f>
              <c:numCache>
                <c:formatCode>General</c:formatCode>
                <c:ptCount val="71"/>
                <c:pt idx="0">
                  <c:v>0</c:v>
                </c:pt>
                <c:pt idx="1">
                  <c:v>7.0582994999999995</c:v>
                </c:pt>
                <c:pt idx="2">
                  <c:v>37.70003328</c:v>
                </c:pt>
                <c:pt idx="3">
                  <c:v>94.894915499999996</c:v>
                </c:pt>
                <c:pt idx="4">
                  <c:v>179.60845181999997</c:v>
                </c:pt>
                <c:pt idx="5">
                  <c:v>150.80013312</c:v>
                </c:pt>
                <c:pt idx="6">
                  <c:v>114.82284775500001</c:v>
                </c:pt>
                <c:pt idx="7">
                  <c:v>76.554630079200024</c:v>
                </c:pt>
                <c:pt idx="8">
                  <c:v>51.032376780000007</c:v>
                </c:pt>
                <c:pt idx="9">
                  <c:v>43.723115520000007</c:v>
                </c:pt>
                <c:pt idx="10">
                  <c:v>38.868957388799998</c:v>
                </c:pt>
                <c:pt idx="11">
                  <c:v>36.406325407200001</c:v>
                </c:pt>
                <c:pt idx="12">
                  <c:v>34.093189951800007</c:v>
                </c:pt>
                <c:pt idx="13">
                  <c:v>19.035484351800001</c:v>
                </c:pt>
                <c:pt idx="14">
                  <c:v>7.026964135800001</c:v>
                </c:pt>
                <c:pt idx="15">
                  <c:v>0.77383361580000021</c:v>
                </c:pt>
                <c:pt idx="16">
                  <c:v>8.3688775800000059E-2</c:v>
                </c:pt>
                <c:pt idx="17">
                  <c:v>0.77383361580000021</c:v>
                </c:pt>
                <c:pt idx="18">
                  <c:v>4.148711595</c:v>
                </c:pt>
                <c:pt idx="19">
                  <c:v>1.192939755</c:v>
                </c:pt>
                <c:pt idx="20">
                  <c:v>0.10543879500000002</c:v>
                </c:pt>
                <c:pt idx="21">
                  <c:v>8.7139500000000148E-4</c:v>
                </c:pt>
                <c:pt idx="22">
                  <c:v>2.195950255800001E-2</c:v>
                </c:pt>
                <c:pt idx="23">
                  <c:v>0.134418255678</c:v>
                </c:pt>
                <c:pt idx="24">
                  <c:v>0.3633511500779999</c:v>
                </c:pt>
                <c:pt idx="25">
                  <c:v>0.70382260447799982</c:v>
                </c:pt>
                <c:pt idx="26">
                  <c:v>0.72679083388799981</c:v>
                </c:pt>
                <c:pt idx="27">
                  <c:v>0.75012783766199953</c:v>
                </c:pt>
                <c:pt idx="28">
                  <c:v>0.76245006007799954</c:v>
                </c:pt>
                <c:pt idx="29">
                  <c:v>0.76864881554999964</c:v>
                </c:pt>
                <c:pt idx="30">
                  <c:v>5.816465771549999</c:v>
                </c:pt>
                <c:pt idx="31">
                  <c:v>28.139165765549993</c:v>
                </c:pt>
                <c:pt idx="32">
                  <c:v>71.127172463549996</c:v>
                </c:pt>
                <c:pt idx="33">
                  <c:v>86.848881053549988</c:v>
                </c:pt>
                <c:pt idx="34">
                  <c:v>78.268777325549991</c:v>
                </c:pt>
                <c:pt idx="35">
                  <c:v>63.289636698749995</c:v>
                </c:pt>
                <c:pt idx="36">
                  <c:v>39.720144738750001</c:v>
                </c:pt>
                <c:pt idx="37">
                  <c:v>20.000475888750003</c:v>
                </c:pt>
                <c:pt idx="38">
                  <c:v>10.833400488750003</c:v>
                </c:pt>
                <c:pt idx="39">
                  <c:v>12.443738448750006</c:v>
                </c:pt>
                <c:pt idx="40">
                  <c:v>16.474811718750008</c:v>
                </c:pt>
                <c:pt idx="41">
                  <c:v>23.294348988750013</c:v>
                </c:pt>
                <c:pt idx="42">
                  <c:v>55.997803338750025</c:v>
                </c:pt>
                <c:pt idx="43">
                  <c:v>102.81785668875004</c:v>
                </c:pt>
                <c:pt idx="44">
                  <c:v>160.74645349875007</c:v>
                </c:pt>
                <c:pt idx="45">
                  <c:v>183.98655814875008</c:v>
                </c:pt>
                <c:pt idx="46">
                  <c:v>143.28369769875007</c:v>
                </c:pt>
                <c:pt idx="47">
                  <c:v>105.22639246875008</c:v>
                </c:pt>
                <c:pt idx="48">
                  <c:v>73.03183279875006</c:v>
                </c:pt>
                <c:pt idx="49">
                  <c:v>54.244556598750052</c:v>
                </c:pt>
                <c:pt idx="50">
                  <c:v>38.245744398750048</c:v>
                </c:pt>
                <c:pt idx="51">
                  <c:v>25.629687588750038</c:v>
                </c:pt>
                <c:pt idx="52">
                  <c:v>16.957564548750032</c:v>
                </c:pt>
                <c:pt idx="53">
                  <c:v>10.448243898750025</c:v>
                </c:pt>
                <c:pt idx="54">
                  <c:v>15.999030048750031</c:v>
                </c:pt>
                <c:pt idx="55">
                  <c:v>23.867726898750032</c:v>
                </c:pt>
                <c:pt idx="56">
                  <c:v>39.720144738750044</c:v>
                </c:pt>
                <c:pt idx="57">
                  <c:v>65.182306638750049</c:v>
                </c:pt>
                <c:pt idx="58">
                  <c:v>101.62404553875007</c:v>
                </c:pt>
                <c:pt idx="59">
                  <c:v>148.99307773875012</c:v>
                </c:pt>
                <c:pt idx="60">
                  <c:v>148.99307773875012</c:v>
                </c:pt>
                <c:pt idx="61">
                  <c:v>148.99307773875012</c:v>
                </c:pt>
                <c:pt idx="62">
                  <c:v>102.81785668875008</c:v>
                </c:pt>
                <c:pt idx="63">
                  <c:v>65.182306638750063</c:v>
                </c:pt>
                <c:pt idx="64">
                  <c:v>37.519000968750049</c:v>
                </c:pt>
                <c:pt idx="65">
                  <c:v>45.100137468750056</c:v>
                </c:pt>
                <c:pt idx="66">
                  <c:v>53.378389968750056</c:v>
                </c:pt>
                <c:pt idx="67">
                  <c:v>62.353758468750065</c:v>
                </c:pt>
                <c:pt idx="68">
                  <c:v>72.026242968750068</c:v>
                </c:pt>
                <c:pt idx="69">
                  <c:v>82.395843468750073</c:v>
                </c:pt>
                <c:pt idx="70">
                  <c:v>93.462559968750071</c:v>
                </c:pt>
              </c:numCache>
            </c:numRef>
          </c:yVal>
          <c:smooth val="0"/>
          <c:extLst xmlns:c16r2="http://schemas.microsoft.com/office/drawing/2015/06/chart">
            <c:ext xmlns:c16="http://schemas.microsoft.com/office/drawing/2014/chart" uri="{C3380CC4-5D6E-409C-BE32-E72D297353CC}">
              <c16:uniqueId val="{00000000-CC7E-4A4C-AE76-3C935C8A835E}"/>
            </c:ext>
          </c:extLst>
        </c:ser>
        <c:dLbls>
          <c:showLegendKey val="0"/>
          <c:showVal val="0"/>
          <c:showCatName val="0"/>
          <c:showSerName val="0"/>
          <c:showPercent val="0"/>
          <c:showBubbleSize val="0"/>
        </c:dLbls>
        <c:axId val="462057040"/>
        <c:axId val="462057432"/>
      </c:scatterChart>
      <c:valAx>
        <c:axId val="462057040"/>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49863377376727519"/>
              <c:y val="0.92051157361939684"/>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7432"/>
        <c:crosses val="autoZero"/>
        <c:crossBetween val="midCat"/>
        <c:majorUnit val="5"/>
      </c:valAx>
      <c:valAx>
        <c:axId val="4620574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Aerodynamic Resistance (N)</a:t>
                </a: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7040"/>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Rolling</a:t>
            </a:r>
            <a:r>
              <a:rPr lang="en-GB" sz="1600" u="sng" baseline="0"/>
              <a:t> Resistance Time Graph </a:t>
            </a:r>
            <a:endParaRPr lang="en-GB"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'CW2 Sheet '!$Y$1</c:f>
              <c:strCache>
                <c:ptCount val="1"/>
                <c:pt idx="0">
                  <c:v>Rolling Drag N</c:v>
                </c:pt>
              </c:strCache>
            </c:strRef>
          </c:tx>
          <c:spPr>
            <a:ln w="19050" cap="rnd">
              <a:solidFill>
                <a:schemeClr val="accent1"/>
              </a:solidFill>
              <a:round/>
            </a:ln>
            <a:effectLst/>
          </c:spPr>
          <c:marker>
            <c:symbol val="circle"/>
            <c:size val="5"/>
            <c:spPr>
              <a:solidFill>
                <a:schemeClr val="bg2">
                  <a:lumMod val="50000"/>
                </a:schemeClr>
              </a:solidFill>
              <a:ln w="9525">
                <a:solidFill>
                  <a:schemeClr val="bg2">
                    <a:lumMod val="50000"/>
                  </a:schemeClr>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'!$Y$2:$Y$72</c:f>
              <c:numCache>
                <c:formatCode>General</c:formatCode>
                <c:ptCount val="71"/>
                <c:pt idx="0">
                  <c:v>568.98</c:v>
                </c:pt>
                <c:pt idx="1">
                  <c:v>568.98</c:v>
                </c:pt>
                <c:pt idx="2">
                  <c:v>568.98</c:v>
                </c:pt>
                <c:pt idx="3">
                  <c:v>568.98</c:v>
                </c:pt>
                <c:pt idx="4">
                  <c:v>568.98</c:v>
                </c:pt>
                <c:pt idx="5">
                  <c:v>568.98</c:v>
                </c:pt>
                <c:pt idx="6">
                  <c:v>568.98</c:v>
                </c:pt>
                <c:pt idx="7">
                  <c:v>568.98</c:v>
                </c:pt>
                <c:pt idx="8">
                  <c:v>568.98</c:v>
                </c:pt>
                <c:pt idx="9">
                  <c:v>568.98</c:v>
                </c:pt>
                <c:pt idx="10">
                  <c:v>568.98</c:v>
                </c:pt>
                <c:pt idx="11">
                  <c:v>568.98</c:v>
                </c:pt>
                <c:pt idx="12">
                  <c:v>568.98</c:v>
                </c:pt>
                <c:pt idx="13">
                  <c:v>568.98</c:v>
                </c:pt>
                <c:pt idx="14">
                  <c:v>568.98</c:v>
                </c:pt>
                <c:pt idx="15">
                  <c:v>568.98</c:v>
                </c:pt>
                <c:pt idx="16">
                  <c:v>568.98</c:v>
                </c:pt>
                <c:pt idx="17">
                  <c:v>568.98</c:v>
                </c:pt>
                <c:pt idx="18">
                  <c:v>568.98</c:v>
                </c:pt>
                <c:pt idx="19">
                  <c:v>568.98</c:v>
                </c:pt>
                <c:pt idx="20">
                  <c:v>568.98</c:v>
                </c:pt>
                <c:pt idx="21">
                  <c:v>568.98</c:v>
                </c:pt>
                <c:pt idx="22">
                  <c:v>568.98</c:v>
                </c:pt>
                <c:pt idx="23">
                  <c:v>568.98</c:v>
                </c:pt>
                <c:pt idx="24">
                  <c:v>568.98</c:v>
                </c:pt>
                <c:pt idx="25">
                  <c:v>568.98</c:v>
                </c:pt>
                <c:pt idx="26">
                  <c:v>568.98</c:v>
                </c:pt>
                <c:pt idx="27">
                  <c:v>568.98</c:v>
                </c:pt>
                <c:pt idx="28">
                  <c:v>568.98</c:v>
                </c:pt>
                <c:pt idx="29">
                  <c:v>568.98</c:v>
                </c:pt>
                <c:pt idx="30">
                  <c:v>568.98</c:v>
                </c:pt>
                <c:pt idx="31">
                  <c:v>568.98</c:v>
                </c:pt>
                <c:pt idx="32">
                  <c:v>568.98</c:v>
                </c:pt>
                <c:pt idx="33">
                  <c:v>568.98</c:v>
                </c:pt>
                <c:pt idx="34">
                  <c:v>568.98</c:v>
                </c:pt>
                <c:pt idx="35">
                  <c:v>568.98</c:v>
                </c:pt>
                <c:pt idx="36">
                  <c:v>568.98</c:v>
                </c:pt>
                <c:pt idx="37">
                  <c:v>568.98</c:v>
                </c:pt>
                <c:pt idx="38">
                  <c:v>568.98</c:v>
                </c:pt>
                <c:pt idx="39">
                  <c:v>568.98</c:v>
                </c:pt>
                <c:pt idx="40">
                  <c:v>568.98</c:v>
                </c:pt>
                <c:pt idx="41">
                  <c:v>568.98</c:v>
                </c:pt>
                <c:pt idx="42">
                  <c:v>568.98</c:v>
                </c:pt>
                <c:pt idx="43">
                  <c:v>568.98</c:v>
                </c:pt>
                <c:pt idx="44">
                  <c:v>568.98</c:v>
                </c:pt>
                <c:pt idx="45">
                  <c:v>0</c:v>
                </c:pt>
                <c:pt idx="46">
                  <c:v>568.98</c:v>
                </c:pt>
                <c:pt idx="47">
                  <c:v>568.98</c:v>
                </c:pt>
                <c:pt idx="48">
                  <c:v>568.98</c:v>
                </c:pt>
                <c:pt idx="49">
                  <c:v>568.98</c:v>
                </c:pt>
                <c:pt idx="50">
                  <c:v>568.98</c:v>
                </c:pt>
                <c:pt idx="51">
                  <c:v>568.98</c:v>
                </c:pt>
                <c:pt idx="52">
                  <c:v>568.98</c:v>
                </c:pt>
                <c:pt idx="53">
                  <c:v>568.98</c:v>
                </c:pt>
                <c:pt idx="54">
                  <c:v>568.98</c:v>
                </c:pt>
                <c:pt idx="55">
                  <c:v>568.98</c:v>
                </c:pt>
                <c:pt idx="56">
                  <c:v>568.98</c:v>
                </c:pt>
                <c:pt idx="57">
                  <c:v>568.98</c:v>
                </c:pt>
                <c:pt idx="58">
                  <c:v>568.98</c:v>
                </c:pt>
                <c:pt idx="59">
                  <c:v>568.98</c:v>
                </c:pt>
                <c:pt idx="60">
                  <c:v>0</c:v>
                </c:pt>
                <c:pt idx="61">
                  <c:v>568.98</c:v>
                </c:pt>
                <c:pt idx="62">
                  <c:v>568.98</c:v>
                </c:pt>
                <c:pt idx="63">
                  <c:v>568.98</c:v>
                </c:pt>
                <c:pt idx="64">
                  <c:v>568.98</c:v>
                </c:pt>
                <c:pt idx="65">
                  <c:v>568.98</c:v>
                </c:pt>
                <c:pt idx="66">
                  <c:v>568.98</c:v>
                </c:pt>
                <c:pt idx="67">
                  <c:v>568.98</c:v>
                </c:pt>
                <c:pt idx="68">
                  <c:v>568.98</c:v>
                </c:pt>
                <c:pt idx="69">
                  <c:v>568.98</c:v>
                </c:pt>
                <c:pt idx="70">
                  <c:v>568.98</c:v>
                </c:pt>
              </c:numCache>
            </c:numRef>
          </c:yVal>
          <c:smooth val="0"/>
          <c:extLst xmlns:c16r2="http://schemas.microsoft.com/office/drawing/2015/06/chart">
            <c:ext xmlns:c16="http://schemas.microsoft.com/office/drawing/2014/chart" uri="{C3380CC4-5D6E-409C-BE32-E72D297353CC}">
              <c16:uniqueId val="{00000006-B00E-4561-9EDC-717635429797}"/>
            </c:ext>
          </c:extLst>
        </c:ser>
        <c:dLbls>
          <c:showLegendKey val="0"/>
          <c:showVal val="0"/>
          <c:showCatName val="0"/>
          <c:showSerName val="0"/>
          <c:showPercent val="0"/>
          <c:showBubbleSize val="0"/>
        </c:dLbls>
        <c:axId val="462060176"/>
        <c:axId val="462055080"/>
      </c:scatterChart>
      <c:valAx>
        <c:axId val="46206017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5080"/>
        <c:crosses val="autoZero"/>
        <c:crossBetween val="midCat"/>
        <c:majorUnit val="5"/>
      </c:valAx>
      <c:valAx>
        <c:axId val="462055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Rolling</a:t>
                </a:r>
                <a:r>
                  <a:rPr lang="en-GB" sz="1400" baseline="0"/>
                  <a:t> Resistance (N)</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60176"/>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Gradient</a:t>
            </a:r>
            <a:r>
              <a:rPr lang="en-GB" sz="1600" u="sng" baseline="0"/>
              <a:t>  Time  Graph </a:t>
            </a:r>
            <a:endParaRPr lang="en-GB"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'CW2 Sheet '!$V$1</c:f>
              <c:strCache>
                <c:ptCount val="1"/>
                <c:pt idx="0">
                  <c:v>Gradient (°)</c:v>
                </c:pt>
              </c:strCache>
            </c:strRef>
          </c:tx>
          <c:spPr>
            <a:ln w="28575" cap="rnd">
              <a:solidFill>
                <a:schemeClr val="accent1"/>
              </a:solidFill>
              <a:round/>
            </a:ln>
            <a:effectLst/>
          </c:spPr>
          <c:marker>
            <c:symbol val="circle"/>
            <c:size val="5"/>
            <c:spPr>
              <a:solidFill>
                <a:schemeClr val="bg2">
                  <a:lumMod val="50000"/>
                </a:schemeClr>
              </a:solidFill>
              <a:ln w="9525">
                <a:solidFill>
                  <a:schemeClr val="bg2">
                    <a:lumMod val="50000"/>
                  </a:schemeClr>
                </a:solidFill>
              </a:ln>
              <a:effectLst/>
            </c:spPr>
          </c:marker>
          <c:cat>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cat>
          <c:val>
            <c:numRef>
              <c:f>'CW2 Sheet '!$V$2:$V$72</c:f>
              <c:numCache>
                <c:formatCode>0.00</c:formatCode>
                <c:ptCount val="71"/>
                <c:pt idx="0">
                  <c:v>0</c:v>
                </c:pt>
                <c:pt idx="1">
                  <c:v>0.79999999999999993</c:v>
                </c:pt>
                <c:pt idx="2">
                  <c:v>0.8</c:v>
                </c:pt>
                <c:pt idx="3">
                  <c:v>0.8600000000000001</c:v>
                </c:pt>
                <c:pt idx="4">
                  <c:v>7.1272878819970913</c:v>
                </c:pt>
                <c:pt idx="5">
                  <c:v>7.1272878819970913</c:v>
                </c:pt>
                <c:pt idx="6">
                  <c:v>7.1272878819970913</c:v>
                </c:pt>
                <c:pt idx="7">
                  <c:v>7.1272878819970913</c:v>
                </c:pt>
                <c:pt idx="8">
                  <c:v>4.1706479118615389</c:v>
                </c:pt>
                <c:pt idx="9">
                  <c:v>4.1706479118615389</c:v>
                </c:pt>
                <c:pt idx="10">
                  <c:v>4.1706479118615389</c:v>
                </c:pt>
                <c:pt idx="11">
                  <c:v>4.1706479118615389</c:v>
                </c:pt>
                <c:pt idx="12">
                  <c:v>-3.9592874494513626</c:v>
                </c:pt>
                <c:pt idx="13">
                  <c:v>-3.9592874494513626</c:v>
                </c:pt>
                <c:pt idx="14">
                  <c:v>-3.9592874494513626</c:v>
                </c:pt>
                <c:pt idx="15">
                  <c:v>-3.9592874494513626</c:v>
                </c:pt>
                <c:pt idx="16">
                  <c:v>-4.0960437581523328</c:v>
                </c:pt>
                <c:pt idx="17">
                  <c:v>-4.0960437581523328</c:v>
                </c:pt>
                <c:pt idx="18">
                  <c:v>-8.0478462473115151</c:v>
                </c:pt>
                <c:pt idx="19">
                  <c:v>-8.0478462473115151</c:v>
                </c:pt>
                <c:pt idx="20">
                  <c:v>-8.0478462473115151</c:v>
                </c:pt>
                <c:pt idx="21">
                  <c:v>-8.0478462473115151</c:v>
                </c:pt>
                <c:pt idx="22">
                  <c:v>-8.0478462473115151</c:v>
                </c:pt>
                <c:pt idx="23">
                  <c:v>-8.0478462473115151</c:v>
                </c:pt>
                <c:pt idx="24">
                  <c:v>-8.0478462473115151</c:v>
                </c:pt>
                <c:pt idx="25">
                  <c:v>-14.477512185929925</c:v>
                </c:pt>
                <c:pt idx="26">
                  <c:v>-14.477512185929925</c:v>
                </c:pt>
                <c:pt idx="27">
                  <c:v>-14.477512185929925</c:v>
                </c:pt>
                <c:pt idx="28">
                  <c:v>-14.477512185929925</c:v>
                </c:pt>
                <c:pt idx="29">
                  <c:v>0</c:v>
                </c:pt>
                <c:pt idx="30">
                  <c:v>0</c:v>
                </c:pt>
                <c:pt idx="31">
                  <c:v>0</c:v>
                </c:pt>
                <c:pt idx="32">
                  <c:v>0</c:v>
                </c:pt>
                <c:pt idx="33">
                  <c:v>0</c:v>
                </c:pt>
                <c:pt idx="34">
                  <c:v>0</c:v>
                </c:pt>
                <c:pt idx="35">
                  <c:v>-7.4947174539266861</c:v>
                </c:pt>
                <c:pt idx="36">
                  <c:v>-7.4947174539266861</c:v>
                </c:pt>
                <c:pt idx="37">
                  <c:v>-7.4947174539266861</c:v>
                </c:pt>
                <c:pt idx="38">
                  <c:v>-7.3540352103988331</c:v>
                </c:pt>
                <c:pt idx="39">
                  <c:v>-7.3540352103988331</c:v>
                </c:pt>
                <c:pt idx="40">
                  <c:v>-7.3540352103988331</c:v>
                </c:pt>
                <c:pt idx="41">
                  <c:v>0</c:v>
                </c:pt>
                <c:pt idx="42">
                  <c:v>0</c:v>
                </c:pt>
                <c:pt idx="43">
                  <c:v>0</c:v>
                </c:pt>
                <c:pt idx="44">
                  <c:v>7.3699999999999983</c:v>
                </c:pt>
                <c:pt idx="45">
                  <c:v>9.2100000000000009</c:v>
                </c:pt>
                <c:pt idx="46">
                  <c:v>3.8200000000000003</c:v>
                </c:pt>
                <c:pt idx="47">
                  <c:v>9.2068962213459002</c:v>
                </c:pt>
                <c:pt idx="48">
                  <c:v>6.89</c:v>
                </c:pt>
                <c:pt idx="49">
                  <c:v>6.89</c:v>
                </c:pt>
                <c:pt idx="50">
                  <c:v>6.89</c:v>
                </c:pt>
                <c:pt idx="51">
                  <c:v>6.89</c:v>
                </c:pt>
                <c:pt idx="52">
                  <c:v>6.89</c:v>
                </c:pt>
                <c:pt idx="53">
                  <c:v>-1.9899999999999998</c:v>
                </c:pt>
                <c:pt idx="54">
                  <c:v>-1.9899999999999998</c:v>
                </c:pt>
                <c:pt idx="55">
                  <c:v>-1.9899999999999998</c:v>
                </c:pt>
                <c:pt idx="56">
                  <c:v>-5.5100000000000007</c:v>
                </c:pt>
                <c:pt idx="57">
                  <c:v>-5.51</c:v>
                </c:pt>
                <c:pt idx="58">
                  <c:v>-5.51</c:v>
                </c:pt>
                <c:pt idx="59">
                  <c:v>-7.6099999999999985</c:v>
                </c:pt>
                <c:pt idx="60">
                  <c:v>-8.0500000000000007</c:v>
                </c:pt>
                <c:pt idx="61">
                  <c:v>-8.0500000000000007</c:v>
                </c:pt>
                <c:pt idx="62">
                  <c:v>-8.0500000000000007</c:v>
                </c:pt>
                <c:pt idx="63">
                  <c:v>-7.07</c:v>
                </c:pt>
                <c:pt idx="64">
                  <c:v>-7.07</c:v>
                </c:pt>
                <c:pt idx="65">
                  <c:v>-3.07</c:v>
                </c:pt>
                <c:pt idx="66">
                  <c:v>-3.0699999999999994</c:v>
                </c:pt>
                <c:pt idx="67">
                  <c:v>-3.07</c:v>
                </c:pt>
                <c:pt idx="68">
                  <c:v>-3.07</c:v>
                </c:pt>
                <c:pt idx="69">
                  <c:v>-3.07</c:v>
                </c:pt>
                <c:pt idx="70">
                  <c:v>5.7</c:v>
                </c:pt>
              </c:numCache>
            </c:numRef>
          </c:val>
          <c:smooth val="0"/>
          <c:extLst xmlns:c16r2="http://schemas.microsoft.com/office/drawing/2015/06/chart">
            <c:ext xmlns:c16="http://schemas.microsoft.com/office/drawing/2014/chart" uri="{C3380CC4-5D6E-409C-BE32-E72D297353CC}">
              <c16:uniqueId val="{00000000-CE6A-48F4-9A9F-DD37041E2474}"/>
            </c:ext>
          </c:extLst>
        </c:ser>
        <c:dLbls>
          <c:showLegendKey val="0"/>
          <c:showVal val="0"/>
          <c:showCatName val="0"/>
          <c:showSerName val="0"/>
          <c:showPercent val="0"/>
          <c:showBubbleSize val="0"/>
        </c:dLbls>
        <c:marker val="1"/>
        <c:smooth val="0"/>
        <c:axId val="462060960"/>
        <c:axId val="462053512"/>
      </c:lineChart>
      <c:catAx>
        <c:axId val="462060960"/>
        <c:scaling>
          <c:orientation val="minMax"/>
        </c:scaling>
        <c:delete val="0"/>
        <c:axPos val="b"/>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3512"/>
        <c:crosses val="autoZero"/>
        <c:auto val="1"/>
        <c:lblAlgn val="ctr"/>
        <c:lblOffset val="100"/>
        <c:noMultiLvlLbl val="0"/>
      </c:catAx>
      <c:valAx>
        <c:axId val="4620535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Gradient (</a:t>
                </a:r>
                <a:r>
                  <a:rPr lang="en-GB" sz="1400">
                    <a:latin typeface="Times New Roman" panose="02020603050405020304" pitchFamily="18" charset="0"/>
                    <a:cs typeface="Times New Roman" panose="02020603050405020304" pitchFamily="18" charset="0"/>
                  </a:rPr>
                  <a:t>º)</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60960"/>
        <c:crosses val="autoZero"/>
        <c:crossBetween val="between"/>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Total</a:t>
            </a:r>
            <a:r>
              <a:rPr lang="en-GB" sz="1600" u="sng" baseline="0"/>
              <a:t> Vehicle resistance Time Graph </a:t>
            </a:r>
            <a:endParaRPr lang="en-GB" sz="1600" u="sng"/>
          </a:p>
        </c:rich>
      </c:tx>
      <c:layout/>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2835694729328946E-2"/>
          <c:y val="9.8706083469644254E-2"/>
          <c:w val="0.9018622455339268"/>
          <c:h val="0.78312523128852274"/>
        </c:manualLayout>
      </c:layout>
      <c:scatterChart>
        <c:scatterStyle val="lineMarker"/>
        <c:varyColors val="0"/>
        <c:ser>
          <c:idx val="1"/>
          <c:order val="0"/>
          <c:tx>
            <c:strRef>
              <c:f>'CW2 Sheet '!$X$1</c:f>
              <c:strCache>
                <c:ptCount val="1"/>
                <c:pt idx="0">
                  <c:v>aerodynamic resistance N</c:v>
                </c:pt>
              </c:strCache>
            </c:strRef>
          </c:tx>
          <c:spPr>
            <a:ln w="19050" cap="rnd">
              <a:solidFill>
                <a:schemeClr val="accent2"/>
              </a:solidFill>
              <a:round/>
            </a:ln>
            <a:effectLst/>
          </c:spPr>
          <c:marker>
            <c:symbol val="circle"/>
            <c:size val="5"/>
            <c:spPr>
              <a:solidFill>
                <a:srgbClr val="00B0F0"/>
              </a:solidFill>
              <a:ln w="9525">
                <a:solidFill>
                  <a:srgbClr val="0070C0"/>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'!$X$2:$X$72</c:f>
              <c:numCache>
                <c:formatCode>General</c:formatCode>
                <c:ptCount val="71"/>
                <c:pt idx="0">
                  <c:v>0</c:v>
                </c:pt>
                <c:pt idx="1">
                  <c:v>7.0582994999999995</c:v>
                </c:pt>
                <c:pt idx="2">
                  <c:v>37.70003328</c:v>
                </c:pt>
                <c:pt idx="3">
                  <c:v>94.894915499999996</c:v>
                </c:pt>
                <c:pt idx="4">
                  <c:v>179.60845181999997</c:v>
                </c:pt>
                <c:pt idx="5">
                  <c:v>150.80013312</c:v>
                </c:pt>
                <c:pt idx="6">
                  <c:v>114.82284775500001</c:v>
                </c:pt>
                <c:pt idx="7">
                  <c:v>76.554630079200024</c:v>
                </c:pt>
                <c:pt idx="8">
                  <c:v>51.032376780000007</c:v>
                </c:pt>
                <c:pt idx="9">
                  <c:v>43.723115520000007</c:v>
                </c:pt>
                <c:pt idx="10">
                  <c:v>38.868957388799998</c:v>
                </c:pt>
                <c:pt idx="11">
                  <c:v>36.406325407200001</c:v>
                </c:pt>
                <c:pt idx="12">
                  <c:v>34.093189951800007</c:v>
                </c:pt>
                <c:pt idx="13">
                  <c:v>19.035484351800001</c:v>
                </c:pt>
                <c:pt idx="14">
                  <c:v>7.026964135800001</c:v>
                </c:pt>
                <c:pt idx="15">
                  <c:v>0.77383361580000021</c:v>
                </c:pt>
                <c:pt idx="16">
                  <c:v>8.3688775800000059E-2</c:v>
                </c:pt>
                <c:pt idx="17">
                  <c:v>0.77383361580000021</c:v>
                </c:pt>
                <c:pt idx="18">
                  <c:v>4.148711595</c:v>
                </c:pt>
                <c:pt idx="19">
                  <c:v>1.192939755</c:v>
                </c:pt>
                <c:pt idx="20">
                  <c:v>0.10543879500000002</c:v>
                </c:pt>
                <c:pt idx="21">
                  <c:v>8.7139500000000148E-4</c:v>
                </c:pt>
                <c:pt idx="22">
                  <c:v>2.195950255800001E-2</c:v>
                </c:pt>
                <c:pt idx="23">
                  <c:v>0.134418255678</c:v>
                </c:pt>
                <c:pt idx="24">
                  <c:v>0.3633511500779999</c:v>
                </c:pt>
                <c:pt idx="25">
                  <c:v>0.70382260447799982</c:v>
                </c:pt>
                <c:pt idx="26">
                  <c:v>0.72679083388799981</c:v>
                </c:pt>
                <c:pt idx="27">
                  <c:v>0.75012783766199953</c:v>
                </c:pt>
                <c:pt idx="28">
                  <c:v>0.76245006007799954</c:v>
                </c:pt>
                <c:pt idx="29">
                  <c:v>0.76864881554999964</c:v>
                </c:pt>
                <c:pt idx="30">
                  <c:v>5.816465771549999</c:v>
                </c:pt>
                <c:pt idx="31">
                  <c:v>28.139165765549993</c:v>
                </c:pt>
                <c:pt idx="32">
                  <c:v>71.127172463549996</c:v>
                </c:pt>
                <c:pt idx="33">
                  <c:v>86.848881053549988</c:v>
                </c:pt>
                <c:pt idx="34">
                  <c:v>78.268777325549991</c:v>
                </c:pt>
                <c:pt idx="35">
                  <c:v>63.289636698749995</c:v>
                </c:pt>
                <c:pt idx="36">
                  <c:v>39.720144738750001</c:v>
                </c:pt>
                <c:pt idx="37">
                  <c:v>20.000475888750003</c:v>
                </c:pt>
                <c:pt idx="38">
                  <c:v>10.833400488750003</c:v>
                </c:pt>
                <c:pt idx="39">
                  <c:v>12.443738448750006</c:v>
                </c:pt>
                <c:pt idx="40">
                  <c:v>16.474811718750008</c:v>
                </c:pt>
                <c:pt idx="41">
                  <c:v>23.294348988750013</c:v>
                </c:pt>
                <c:pt idx="42">
                  <c:v>55.997803338750025</c:v>
                </c:pt>
                <c:pt idx="43">
                  <c:v>102.81785668875004</c:v>
                </c:pt>
                <c:pt idx="44">
                  <c:v>160.74645349875007</c:v>
                </c:pt>
                <c:pt idx="45">
                  <c:v>183.98655814875008</c:v>
                </c:pt>
                <c:pt idx="46">
                  <c:v>143.28369769875007</c:v>
                </c:pt>
                <c:pt idx="47">
                  <c:v>105.22639246875008</c:v>
                </c:pt>
                <c:pt idx="48">
                  <c:v>73.03183279875006</c:v>
                </c:pt>
                <c:pt idx="49">
                  <c:v>54.244556598750052</c:v>
                </c:pt>
                <c:pt idx="50">
                  <c:v>38.245744398750048</c:v>
                </c:pt>
                <c:pt idx="51">
                  <c:v>25.629687588750038</c:v>
                </c:pt>
                <c:pt idx="52">
                  <c:v>16.957564548750032</c:v>
                </c:pt>
                <c:pt idx="53">
                  <c:v>10.448243898750025</c:v>
                </c:pt>
                <c:pt idx="54">
                  <c:v>15.999030048750031</c:v>
                </c:pt>
                <c:pt idx="55">
                  <c:v>23.867726898750032</c:v>
                </c:pt>
                <c:pt idx="56">
                  <c:v>39.720144738750044</c:v>
                </c:pt>
                <c:pt idx="57">
                  <c:v>65.182306638750049</c:v>
                </c:pt>
                <c:pt idx="58">
                  <c:v>101.62404553875007</c:v>
                </c:pt>
                <c:pt idx="59">
                  <c:v>148.99307773875012</c:v>
                </c:pt>
                <c:pt idx="60">
                  <c:v>148.99307773875012</c:v>
                </c:pt>
                <c:pt idx="61">
                  <c:v>148.99307773875012</c:v>
                </c:pt>
                <c:pt idx="62">
                  <c:v>102.81785668875008</c:v>
                </c:pt>
                <c:pt idx="63">
                  <c:v>65.182306638750063</c:v>
                </c:pt>
                <c:pt idx="64">
                  <c:v>37.519000968750049</c:v>
                </c:pt>
                <c:pt idx="65">
                  <c:v>45.100137468750056</c:v>
                </c:pt>
                <c:pt idx="66">
                  <c:v>53.378389968750056</c:v>
                </c:pt>
                <c:pt idx="67">
                  <c:v>62.353758468750065</c:v>
                </c:pt>
                <c:pt idx="68">
                  <c:v>72.026242968750068</c:v>
                </c:pt>
                <c:pt idx="69">
                  <c:v>82.395843468750073</c:v>
                </c:pt>
                <c:pt idx="70">
                  <c:v>93.462559968750071</c:v>
                </c:pt>
              </c:numCache>
            </c:numRef>
          </c:yVal>
          <c:smooth val="0"/>
          <c:extLst xmlns:c16r2="http://schemas.microsoft.com/office/drawing/2015/06/chart">
            <c:ext xmlns:c16="http://schemas.microsoft.com/office/drawing/2014/chart" uri="{C3380CC4-5D6E-409C-BE32-E72D297353CC}">
              <c16:uniqueId val="{00000000-A669-4368-8D77-039C1A40EC15}"/>
            </c:ext>
          </c:extLst>
        </c:ser>
        <c:ser>
          <c:idx val="2"/>
          <c:order val="1"/>
          <c:tx>
            <c:strRef>
              <c:f>'CW2 Sheet '!$Y$1</c:f>
              <c:strCache>
                <c:ptCount val="1"/>
                <c:pt idx="0">
                  <c:v>Rolling Drag N</c:v>
                </c:pt>
              </c:strCache>
            </c:strRef>
          </c:tx>
          <c:spPr>
            <a:ln w="19050" cap="rnd">
              <a:solidFill>
                <a:schemeClr val="accent3"/>
              </a:solidFill>
              <a:round/>
            </a:ln>
            <a:effectLst/>
          </c:spPr>
          <c:marker>
            <c:symbol val="circle"/>
            <c:size val="5"/>
            <c:spPr>
              <a:solidFill>
                <a:srgbClr val="C251E1"/>
              </a:solidFill>
              <a:ln w="9525">
                <a:solidFill>
                  <a:srgbClr val="C251E1"/>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'!$Y$2:$Y$72</c:f>
              <c:numCache>
                <c:formatCode>General</c:formatCode>
                <c:ptCount val="71"/>
                <c:pt idx="0">
                  <c:v>568.98</c:v>
                </c:pt>
                <c:pt idx="1">
                  <c:v>568.98</c:v>
                </c:pt>
                <c:pt idx="2">
                  <c:v>568.98</c:v>
                </c:pt>
                <c:pt idx="3">
                  <c:v>568.98</c:v>
                </c:pt>
                <c:pt idx="4">
                  <c:v>568.98</c:v>
                </c:pt>
                <c:pt idx="5">
                  <c:v>568.98</c:v>
                </c:pt>
                <c:pt idx="6">
                  <c:v>568.98</c:v>
                </c:pt>
                <c:pt idx="7">
                  <c:v>568.98</c:v>
                </c:pt>
                <c:pt idx="8">
                  <c:v>568.98</c:v>
                </c:pt>
                <c:pt idx="9">
                  <c:v>568.98</c:v>
                </c:pt>
                <c:pt idx="10">
                  <c:v>568.98</c:v>
                </c:pt>
                <c:pt idx="11">
                  <c:v>568.98</c:v>
                </c:pt>
                <c:pt idx="12">
                  <c:v>568.98</c:v>
                </c:pt>
                <c:pt idx="13">
                  <c:v>568.98</c:v>
                </c:pt>
                <c:pt idx="14">
                  <c:v>568.98</c:v>
                </c:pt>
                <c:pt idx="15">
                  <c:v>568.98</c:v>
                </c:pt>
                <c:pt idx="16">
                  <c:v>568.98</c:v>
                </c:pt>
                <c:pt idx="17">
                  <c:v>568.98</c:v>
                </c:pt>
                <c:pt idx="18">
                  <c:v>568.98</c:v>
                </c:pt>
                <c:pt idx="19">
                  <c:v>568.98</c:v>
                </c:pt>
                <c:pt idx="20">
                  <c:v>568.98</c:v>
                </c:pt>
                <c:pt idx="21">
                  <c:v>568.98</c:v>
                </c:pt>
                <c:pt idx="22">
                  <c:v>568.98</c:v>
                </c:pt>
                <c:pt idx="23">
                  <c:v>568.98</c:v>
                </c:pt>
                <c:pt idx="24">
                  <c:v>568.98</c:v>
                </c:pt>
                <c:pt idx="25">
                  <c:v>568.98</c:v>
                </c:pt>
                <c:pt idx="26">
                  <c:v>568.98</c:v>
                </c:pt>
                <c:pt idx="27">
                  <c:v>568.98</c:v>
                </c:pt>
                <c:pt idx="28">
                  <c:v>568.98</c:v>
                </c:pt>
                <c:pt idx="29">
                  <c:v>568.98</c:v>
                </c:pt>
                <c:pt idx="30">
                  <c:v>568.98</c:v>
                </c:pt>
                <c:pt idx="31">
                  <c:v>568.98</c:v>
                </c:pt>
                <c:pt idx="32">
                  <c:v>568.98</c:v>
                </c:pt>
                <c:pt idx="33">
                  <c:v>568.98</c:v>
                </c:pt>
                <c:pt idx="34">
                  <c:v>568.98</c:v>
                </c:pt>
                <c:pt idx="35">
                  <c:v>568.98</c:v>
                </c:pt>
                <c:pt idx="36">
                  <c:v>568.98</c:v>
                </c:pt>
                <c:pt idx="37">
                  <c:v>568.98</c:v>
                </c:pt>
                <c:pt idx="38">
                  <c:v>568.98</c:v>
                </c:pt>
                <c:pt idx="39">
                  <c:v>568.98</c:v>
                </c:pt>
                <c:pt idx="40">
                  <c:v>568.98</c:v>
                </c:pt>
                <c:pt idx="41">
                  <c:v>568.98</c:v>
                </c:pt>
                <c:pt idx="42">
                  <c:v>568.98</c:v>
                </c:pt>
                <c:pt idx="43">
                  <c:v>568.98</c:v>
                </c:pt>
                <c:pt idx="44">
                  <c:v>568.98</c:v>
                </c:pt>
                <c:pt idx="45">
                  <c:v>0</c:v>
                </c:pt>
                <c:pt idx="46">
                  <c:v>568.98</c:v>
                </c:pt>
                <c:pt idx="47">
                  <c:v>568.98</c:v>
                </c:pt>
                <c:pt idx="48">
                  <c:v>568.98</c:v>
                </c:pt>
                <c:pt idx="49">
                  <c:v>568.98</c:v>
                </c:pt>
                <c:pt idx="50">
                  <c:v>568.98</c:v>
                </c:pt>
                <c:pt idx="51">
                  <c:v>568.98</c:v>
                </c:pt>
                <c:pt idx="52">
                  <c:v>568.98</c:v>
                </c:pt>
                <c:pt idx="53">
                  <c:v>568.98</c:v>
                </c:pt>
                <c:pt idx="54">
                  <c:v>568.98</c:v>
                </c:pt>
                <c:pt idx="55">
                  <c:v>568.98</c:v>
                </c:pt>
                <c:pt idx="56">
                  <c:v>568.98</c:v>
                </c:pt>
                <c:pt idx="57">
                  <c:v>568.98</c:v>
                </c:pt>
                <c:pt idx="58">
                  <c:v>568.98</c:v>
                </c:pt>
                <c:pt idx="59">
                  <c:v>568.98</c:v>
                </c:pt>
                <c:pt idx="60">
                  <c:v>0</c:v>
                </c:pt>
                <c:pt idx="61">
                  <c:v>568.98</c:v>
                </c:pt>
                <c:pt idx="62">
                  <c:v>568.98</c:v>
                </c:pt>
                <c:pt idx="63">
                  <c:v>568.98</c:v>
                </c:pt>
                <c:pt idx="64">
                  <c:v>568.98</c:v>
                </c:pt>
                <c:pt idx="65">
                  <c:v>568.98</c:v>
                </c:pt>
                <c:pt idx="66">
                  <c:v>568.98</c:v>
                </c:pt>
                <c:pt idx="67">
                  <c:v>568.98</c:v>
                </c:pt>
                <c:pt idx="68">
                  <c:v>568.98</c:v>
                </c:pt>
                <c:pt idx="69">
                  <c:v>568.98</c:v>
                </c:pt>
                <c:pt idx="70">
                  <c:v>568.98</c:v>
                </c:pt>
              </c:numCache>
            </c:numRef>
          </c:yVal>
          <c:smooth val="0"/>
          <c:extLst xmlns:c16r2="http://schemas.microsoft.com/office/drawing/2015/06/chart">
            <c:ext xmlns:c16="http://schemas.microsoft.com/office/drawing/2014/chart" uri="{C3380CC4-5D6E-409C-BE32-E72D297353CC}">
              <c16:uniqueId val="{00000001-A669-4368-8D77-039C1A40EC15}"/>
            </c:ext>
          </c:extLst>
        </c:ser>
        <c:ser>
          <c:idx val="3"/>
          <c:order val="2"/>
          <c:tx>
            <c:strRef>
              <c:f>'CW2 Sheet '!$Z$1</c:f>
              <c:strCache>
                <c:ptCount val="1"/>
                <c:pt idx="0">
                  <c:v>Gradient resistance N</c:v>
                </c:pt>
              </c:strCache>
            </c:strRef>
          </c:tx>
          <c:spPr>
            <a:ln w="19050" cap="rnd">
              <a:solidFill>
                <a:schemeClr val="accent4"/>
              </a:solidFill>
              <a:round/>
            </a:ln>
            <a:effectLst/>
          </c:spPr>
          <c:marker>
            <c:symbol val="circle"/>
            <c:size val="5"/>
            <c:spPr>
              <a:solidFill>
                <a:srgbClr val="92D050"/>
              </a:solidFill>
              <a:ln w="9525">
                <a:solidFill>
                  <a:srgbClr val="92D050"/>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'!$Z$2:$Z$72</c:f>
              <c:numCache>
                <c:formatCode>General</c:formatCode>
                <c:ptCount val="71"/>
                <c:pt idx="0">
                  <c:v>0</c:v>
                </c:pt>
                <c:pt idx="1">
                  <c:v>99.302517117085955</c:v>
                </c:pt>
                <c:pt idx="2">
                  <c:v>99.302517117085955</c:v>
                </c:pt>
                <c:pt idx="3">
                  <c:v>106.7496660963305</c:v>
                </c:pt>
                <c:pt idx="4">
                  <c:v>882.44583333333344</c:v>
                </c:pt>
                <c:pt idx="5">
                  <c:v>882.44583333333344</c:v>
                </c:pt>
                <c:pt idx="6">
                  <c:v>882.44583333333344</c:v>
                </c:pt>
                <c:pt idx="7">
                  <c:v>882.44583333333344</c:v>
                </c:pt>
                <c:pt idx="8">
                  <c:v>517.25454545454545</c:v>
                </c:pt>
                <c:pt idx="9">
                  <c:v>517.25454545454545</c:v>
                </c:pt>
                <c:pt idx="10">
                  <c:v>517.25454545454545</c:v>
                </c:pt>
                <c:pt idx="11">
                  <c:v>517.25454545454545</c:v>
                </c:pt>
                <c:pt idx="12">
                  <c:v>-491.0839285714286</c:v>
                </c:pt>
                <c:pt idx="13">
                  <c:v>-491.0839285714286</c:v>
                </c:pt>
                <c:pt idx="14">
                  <c:v>-491.0839285714286</c:v>
                </c:pt>
                <c:pt idx="15">
                  <c:v>-491.0839285714286</c:v>
                </c:pt>
                <c:pt idx="16">
                  <c:v>-508.01785714285711</c:v>
                </c:pt>
                <c:pt idx="17">
                  <c:v>-508.01785714285711</c:v>
                </c:pt>
                <c:pt idx="18">
                  <c:v>-995.71499999999992</c:v>
                </c:pt>
                <c:pt idx="19">
                  <c:v>-995.71499999999992</c:v>
                </c:pt>
                <c:pt idx="20">
                  <c:v>-995.71499999999992</c:v>
                </c:pt>
                <c:pt idx="21">
                  <c:v>-995.71499999999992</c:v>
                </c:pt>
                <c:pt idx="22">
                  <c:v>-995.71499999999992</c:v>
                </c:pt>
                <c:pt idx="23">
                  <c:v>-995.71499999999992</c:v>
                </c:pt>
                <c:pt idx="24">
                  <c:v>-995.71499999999992</c:v>
                </c:pt>
                <c:pt idx="25">
                  <c:v>-1778.0625</c:v>
                </c:pt>
                <c:pt idx="26">
                  <c:v>-1778.0625</c:v>
                </c:pt>
                <c:pt idx="27">
                  <c:v>-1778.0625</c:v>
                </c:pt>
                <c:pt idx="28">
                  <c:v>-1778.0625</c:v>
                </c:pt>
                <c:pt idx="29">
                  <c:v>0</c:v>
                </c:pt>
                <c:pt idx="30">
                  <c:v>0</c:v>
                </c:pt>
                <c:pt idx="31">
                  <c:v>0</c:v>
                </c:pt>
                <c:pt idx="32">
                  <c:v>0</c:v>
                </c:pt>
                <c:pt idx="33">
                  <c:v>0</c:v>
                </c:pt>
                <c:pt idx="34">
                  <c:v>0</c:v>
                </c:pt>
                <c:pt idx="35">
                  <c:v>-927.68478260869563</c:v>
                </c:pt>
                <c:pt idx="36">
                  <c:v>-927.68478260869563</c:v>
                </c:pt>
                <c:pt idx="37">
                  <c:v>-927.68478260869563</c:v>
                </c:pt>
                <c:pt idx="38">
                  <c:v>-910.36800000000005</c:v>
                </c:pt>
                <c:pt idx="39">
                  <c:v>-910.36800000000005</c:v>
                </c:pt>
                <c:pt idx="40">
                  <c:v>-910.36800000000005</c:v>
                </c:pt>
                <c:pt idx="41">
                  <c:v>0</c:v>
                </c:pt>
                <c:pt idx="42">
                  <c:v>0</c:v>
                </c:pt>
                <c:pt idx="43">
                  <c:v>0</c:v>
                </c:pt>
                <c:pt idx="44">
                  <c:v>912.3334072718734</c:v>
                </c:pt>
                <c:pt idx="45">
                  <c:v>1138.3403135984709</c:v>
                </c:pt>
                <c:pt idx="46">
                  <c:v>473.83370477674919</c:v>
                </c:pt>
                <c:pt idx="47">
                  <c:v>1137.96</c:v>
                </c:pt>
                <c:pt idx="48">
                  <c:v>853.21088766614412</c:v>
                </c:pt>
                <c:pt idx="49">
                  <c:v>853.21088766614412</c:v>
                </c:pt>
                <c:pt idx="50">
                  <c:v>853.21088766614412</c:v>
                </c:pt>
                <c:pt idx="51">
                  <c:v>853.21088766614412</c:v>
                </c:pt>
                <c:pt idx="52">
                  <c:v>853.21088766614412</c:v>
                </c:pt>
                <c:pt idx="53">
                  <c:v>-246.97337603059606</c:v>
                </c:pt>
                <c:pt idx="54">
                  <c:v>-246.97337603059606</c:v>
                </c:pt>
                <c:pt idx="55">
                  <c:v>-246.97337603059606</c:v>
                </c:pt>
                <c:pt idx="56">
                  <c:v>-682.91454997105848</c:v>
                </c:pt>
                <c:pt idx="57">
                  <c:v>-682.91454997105836</c:v>
                </c:pt>
                <c:pt idx="58">
                  <c:v>-682.91454997105836</c:v>
                </c:pt>
                <c:pt idx="59">
                  <c:v>-941.87091472908469</c:v>
                </c:pt>
                <c:pt idx="60">
                  <c:v>-995.97971631658891</c:v>
                </c:pt>
                <c:pt idx="61">
                  <c:v>-995.97971631658891</c:v>
                </c:pt>
                <c:pt idx="62">
                  <c:v>-995.97971631658891</c:v>
                </c:pt>
                <c:pt idx="63">
                  <c:v>-875.38907281959462</c:v>
                </c:pt>
                <c:pt idx="64">
                  <c:v>-875.38907281959462</c:v>
                </c:pt>
                <c:pt idx="65">
                  <c:v>-380.90346909503313</c:v>
                </c:pt>
                <c:pt idx="66">
                  <c:v>-380.90346909503307</c:v>
                </c:pt>
                <c:pt idx="67">
                  <c:v>-380.90346909503313</c:v>
                </c:pt>
                <c:pt idx="68">
                  <c:v>-380.90346909503313</c:v>
                </c:pt>
                <c:pt idx="69">
                  <c:v>-380.90346909503313</c:v>
                </c:pt>
                <c:pt idx="70">
                  <c:v>706.3868901141966</c:v>
                </c:pt>
              </c:numCache>
            </c:numRef>
          </c:yVal>
          <c:smooth val="0"/>
          <c:extLst xmlns:c16r2="http://schemas.microsoft.com/office/drawing/2015/06/chart">
            <c:ext xmlns:c16="http://schemas.microsoft.com/office/drawing/2014/chart" uri="{C3380CC4-5D6E-409C-BE32-E72D297353CC}">
              <c16:uniqueId val="{00000002-A669-4368-8D77-039C1A40EC15}"/>
            </c:ext>
          </c:extLst>
        </c:ser>
        <c:ser>
          <c:idx val="0"/>
          <c:order val="3"/>
          <c:tx>
            <c:strRef>
              <c:f>'CW2 Sheet '!$AA$1</c:f>
              <c:strCache>
                <c:ptCount val="1"/>
                <c:pt idx="0">
                  <c:v>Total Vehicle Resistance (N)</c:v>
                </c:pt>
              </c:strCache>
            </c:strRef>
          </c:tx>
          <c:spPr>
            <a:ln w="19050" cap="rnd">
              <a:solidFill>
                <a:srgbClr val="0070C0"/>
              </a:solidFill>
              <a:round/>
            </a:ln>
            <a:effectLst/>
          </c:spPr>
          <c:marker>
            <c:symbol val="circle"/>
            <c:size val="5"/>
            <c:spPr>
              <a:solidFill>
                <a:srgbClr val="C00000"/>
              </a:solidFill>
              <a:ln w="9525">
                <a:solidFill>
                  <a:srgbClr val="C00000"/>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'!$AA$2:$AA$72</c:f>
              <c:numCache>
                <c:formatCode>General</c:formatCode>
                <c:ptCount val="71"/>
                <c:pt idx="0">
                  <c:v>568.98</c:v>
                </c:pt>
                <c:pt idx="1">
                  <c:v>3937.8408166170857</c:v>
                </c:pt>
                <c:pt idx="2">
                  <c:v>4983.482550397086</c:v>
                </c:pt>
                <c:pt idx="3">
                  <c:v>5193.1245815963302</c:v>
                </c:pt>
                <c:pt idx="4">
                  <c:v>6126.0342851533333</c:v>
                </c:pt>
                <c:pt idx="5">
                  <c:v>224.72596645333351</c:v>
                </c:pt>
                <c:pt idx="6">
                  <c:v>-355.00131891166666</c:v>
                </c:pt>
                <c:pt idx="7">
                  <c:v>-886.26953658746652</c:v>
                </c:pt>
                <c:pt idx="8">
                  <c:v>-834.73307776545471</c:v>
                </c:pt>
                <c:pt idx="9">
                  <c:v>477.45766097454543</c:v>
                </c:pt>
                <c:pt idx="10">
                  <c:v>661.1035028433455</c:v>
                </c:pt>
                <c:pt idx="11">
                  <c:v>876.1408708617455</c:v>
                </c:pt>
                <c:pt idx="12">
                  <c:v>-127.26073861962857</c:v>
                </c:pt>
                <c:pt idx="13">
                  <c:v>-1715.5684442196284</c:v>
                </c:pt>
                <c:pt idx="14">
                  <c:v>-2017.5769644356287</c:v>
                </c:pt>
                <c:pt idx="15">
                  <c:v>-2096.3300949556287</c:v>
                </c:pt>
                <c:pt idx="16">
                  <c:v>-663.95416836705704</c:v>
                </c:pt>
                <c:pt idx="17">
                  <c:v>786.73597647294287</c:v>
                </c:pt>
                <c:pt idx="18">
                  <c:v>998.41371159500011</c:v>
                </c:pt>
                <c:pt idx="19">
                  <c:v>-1585.5420602449999</c:v>
                </c:pt>
                <c:pt idx="20">
                  <c:v>-1369.1295612049998</c:v>
                </c:pt>
                <c:pt idx="21">
                  <c:v>-789.23412860499991</c:v>
                </c:pt>
                <c:pt idx="22">
                  <c:v>-280.98804049744183</c:v>
                </c:pt>
                <c:pt idx="23">
                  <c:v>-158.35058174432186</c:v>
                </c:pt>
                <c:pt idx="24">
                  <c:v>-136.37164884992194</c:v>
                </c:pt>
                <c:pt idx="25">
                  <c:v>-918.37867739552212</c:v>
                </c:pt>
                <c:pt idx="26">
                  <c:v>-1191.6807091661119</c:v>
                </c:pt>
                <c:pt idx="27">
                  <c:v>-1191.6573721623379</c:v>
                </c:pt>
                <c:pt idx="28">
                  <c:v>-1199.620049939922</c:v>
                </c:pt>
                <c:pt idx="29">
                  <c:v>574.09864881555006</c:v>
                </c:pt>
                <c:pt idx="30">
                  <c:v>2459.7964657715502</c:v>
                </c:pt>
                <c:pt idx="31">
                  <c:v>4149.6191657655509</c:v>
                </c:pt>
                <c:pt idx="32">
                  <c:v>4482.6071724635503</c:v>
                </c:pt>
                <c:pt idx="33">
                  <c:v>1743.32888105355</c:v>
                </c:pt>
                <c:pt idx="34">
                  <c:v>67.248777325550009</c:v>
                </c:pt>
                <c:pt idx="35">
                  <c:v>-1390.1651459099457</c:v>
                </c:pt>
                <c:pt idx="36">
                  <c:v>-2348.9846378699453</c:v>
                </c:pt>
                <c:pt idx="37">
                  <c:v>-2586.2043067199456</c:v>
                </c:pt>
                <c:pt idx="38">
                  <c:v>-1780.55459951125</c:v>
                </c:pt>
                <c:pt idx="39">
                  <c:v>-38.944261551250065</c:v>
                </c:pt>
                <c:pt idx="40">
                  <c:v>327.58681171875003</c:v>
                </c:pt>
                <c:pt idx="41">
                  <c:v>1534.77434898875</c:v>
                </c:pt>
                <c:pt idx="42">
                  <c:v>3887.4778033387502</c:v>
                </c:pt>
                <c:pt idx="43">
                  <c:v>3934.29785668875</c:v>
                </c:pt>
                <c:pt idx="44">
                  <c:v>4759.5598607706233</c:v>
                </c:pt>
                <c:pt idx="45">
                  <c:v>2409.826871747221</c:v>
                </c:pt>
                <c:pt idx="46">
                  <c:v>-771.40259752450106</c:v>
                </c:pt>
                <c:pt idx="47">
                  <c:v>-290.33360753124998</c:v>
                </c:pt>
                <c:pt idx="48">
                  <c:v>-607.27727953510566</c:v>
                </c:pt>
                <c:pt idx="49">
                  <c:v>26.435444264894159</c:v>
                </c:pt>
                <c:pt idx="50">
                  <c:v>10.436632064894184</c:v>
                </c:pt>
                <c:pt idx="51">
                  <c:v>70.320575254894266</c:v>
                </c:pt>
                <c:pt idx="52">
                  <c:v>279.14845221489418</c:v>
                </c:pt>
                <c:pt idx="53">
                  <c:v>-755.045132131846</c:v>
                </c:pt>
                <c:pt idx="54">
                  <c:v>1280.505654018154</c:v>
                </c:pt>
                <c:pt idx="55">
                  <c:v>1433.3743508681539</c:v>
                </c:pt>
                <c:pt idx="56">
                  <c:v>1665.7855947676917</c:v>
                </c:pt>
                <c:pt idx="57">
                  <c:v>2126.2477566676916</c:v>
                </c:pt>
                <c:pt idx="58">
                  <c:v>2452.6894955676917</c:v>
                </c:pt>
                <c:pt idx="59">
                  <c:v>2386.1021630096657</c:v>
                </c:pt>
                <c:pt idx="60">
                  <c:v>-846.98663857783879</c:v>
                </c:pt>
                <c:pt idx="61">
                  <c:v>-278.00663857783877</c:v>
                </c:pt>
                <c:pt idx="62">
                  <c:v>-2861.681859627839</c:v>
                </c:pt>
                <c:pt idx="63">
                  <c:v>-2778.7267661808446</c:v>
                </c:pt>
                <c:pt idx="64">
                  <c:v>-2661.3900718508444</c:v>
                </c:pt>
                <c:pt idx="65">
                  <c:v>958.17666837371689</c:v>
                </c:pt>
                <c:pt idx="66">
                  <c:v>966.45492087371701</c:v>
                </c:pt>
                <c:pt idx="67">
                  <c:v>975.43028937371696</c:v>
                </c:pt>
                <c:pt idx="68">
                  <c:v>985.10277387371684</c:v>
                </c:pt>
                <c:pt idx="69">
                  <c:v>995.472374373717</c:v>
                </c:pt>
                <c:pt idx="70">
                  <c:v>2093.8294500829466</c:v>
                </c:pt>
              </c:numCache>
            </c:numRef>
          </c:yVal>
          <c:smooth val="0"/>
          <c:extLst xmlns:c16r2="http://schemas.microsoft.com/office/drawing/2015/06/chart">
            <c:ext xmlns:c16="http://schemas.microsoft.com/office/drawing/2014/chart" uri="{C3380CC4-5D6E-409C-BE32-E72D297353CC}">
              <c16:uniqueId val="{00000003-A669-4368-8D77-039C1A40EC15}"/>
            </c:ext>
          </c:extLst>
        </c:ser>
        <c:ser>
          <c:idx val="4"/>
          <c:order val="4"/>
          <c:tx>
            <c:strRef>
              <c:f>'CW2 Sheet '!$W$1</c:f>
              <c:strCache>
                <c:ptCount val="1"/>
                <c:pt idx="0">
                  <c:v>Acceleration resistance N</c:v>
                </c:pt>
              </c:strCache>
            </c:strRef>
          </c:tx>
          <c:spPr>
            <a:ln w="19050" cap="rnd">
              <a:solidFill>
                <a:schemeClr val="accent5"/>
              </a:solidFill>
              <a:round/>
            </a:ln>
            <a:effectLst/>
          </c:spPr>
          <c:marker>
            <c:symbol val="circle"/>
            <c:size val="5"/>
            <c:spPr>
              <a:solidFill>
                <a:schemeClr val="accent5"/>
              </a:solidFill>
              <a:ln w="9525">
                <a:solidFill>
                  <a:schemeClr val="accent5"/>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'!$W$2:$W$72</c:f>
              <c:numCache>
                <c:formatCode>General</c:formatCode>
                <c:ptCount val="71"/>
                <c:pt idx="0">
                  <c:v>0</c:v>
                </c:pt>
                <c:pt idx="1">
                  <c:v>3262.5</c:v>
                </c:pt>
                <c:pt idx="2">
                  <c:v>4277.5</c:v>
                </c:pt>
                <c:pt idx="3">
                  <c:v>4422.5</c:v>
                </c:pt>
                <c:pt idx="4">
                  <c:v>4495</c:v>
                </c:pt>
                <c:pt idx="5">
                  <c:v>-1377.5</c:v>
                </c:pt>
                <c:pt idx="6">
                  <c:v>-1921.25</c:v>
                </c:pt>
                <c:pt idx="7">
                  <c:v>-2414.25</c:v>
                </c:pt>
                <c:pt idx="8">
                  <c:v>-1972.0000000000002</c:v>
                </c:pt>
                <c:pt idx="9">
                  <c:v>-652.5</c:v>
                </c:pt>
                <c:pt idx="10">
                  <c:v>-464</c:v>
                </c:pt>
                <c:pt idx="11">
                  <c:v>-246.50000000000003</c:v>
                </c:pt>
                <c:pt idx="12">
                  <c:v>-239.25</c:v>
                </c:pt>
                <c:pt idx="13">
                  <c:v>-1812.5</c:v>
                </c:pt>
                <c:pt idx="14">
                  <c:v>-2102.5</c:v>
                </c:pt>
                <c:pt idx="15">
                  <c:v>-2175</c:v>
                </c:pt>
                <c:pt idx="16">
                  <c:v>-725</c:v>
                </c:pt>
                <c:pt idx="17">
                  <c:v>725</c:v>
                </c:pt>
                <c:pt idx="18">
                  <c:v>1421</c:v>
                </c:pt>
                <c:pt idx="19">
                  <c:v>-1160</c:v>
                </c:pt>
                <c:pt idx="20">
                  <c:v>-942.5</c:v>
                </c:pt>
                <c:pt idx="21">
                  <c:v>-362.5</c:v>
                </c:pt>
                <c:pt idx="22">
                  <c:v>145.72500000000002</c:v>
                </c:pt>
                <c:pt idx="23">
                  <c:v>268.25</c:v>
                </c:pt>
                <c:pt idx="24">
                  <c:v>290</c:v>
                </c:pt>
                <c:pt idx="25">
                  <c:v>290</c:v>
                </c:pt>
                <c:pt idx="26">
                  <c:v>16.675000000000001</c:v>
                </c:pt>
                <c:pt idx="27">
                  <c:v>16.675000000000001</c:v>
                </c:pt>
                <c:pt idx="28">
                  <c:v>8.7000000000000011</c:v>
                </c:pt>
                <c:pt idx="29">
                  <c:v>4.3500000000000005</c:v>
                </c:pt>
                <c:pt idx="30">
                  <c:v>1885</c:v>
                </c:pt>
                <c:pt idx="31">
                  <c:v>3552.5000000000005</c:v>
                </c:pt>
                <c:pt idx="32">
                  <c:v>3842.5</c:v>
                </c:pt>
                <c:pt idx="33">
                  <c:v>1087.5</c:v>
                </c:pt>
                <c:pt idx="34">
                  <c:v>-580</c:v>
                </c:pt>
                <c:pt idx="35">
                  <c:v>-1094.75</c:v>
                </c:pt>
                <c:pt idx="36">
                  <c:v>-2029.9999999999998</c:v>
                </c:pt>
                <c:pt idx="37">
                  <c:v>-2247.5</c:v>
                </c:pt>
                <c:pt idx="38">
                  <c:v>-1450</c:v>
                </c:pt>
                <c:pt idx="39">
                  <c:v>290</c:v>
                </c:pt>
                <c:pt idx="40">
                  <c:v>652.5</c:v>
                </c:pt>
                <c:pt idx="41">
                  <c:v>942.5</c:v>
                </c:pt>
                <c:pt idx="42">
                  <c:v>3262.5</c:v>
                </c:pt>
                <c:pt idx="43">
                  <c:v>3262.5</c:v>
                </c:pt>
                <c:pt idx="44">
                  <c:v>3117.5</c:v>
                </c:pt>
                <c:pt idx="45">
                  <c:v>1087.5</c:v>
                </c:pt>
                <c:pt idx="46">
                  <c:v>-1957.5000000000002</c:v>
                </c:pt>
                <c:pt idx="47">
                  <c:v>-2102.5</c:v>
                </c:pt>
                <c:pt idx="48">
                  <c:v>-2102.5</c:v>
                </c:pt>
                <c:pt idx="49">
                  <c:v>-1450</c:v>
                </c:pt>
                <c:pt idx="50">
                  <c:v>-1450</c:v>
                </c:pt>
                <c:pt idx="51">
                  <c:v>-1377.5</c:v>
                </c:pt>
                <c:pt idx="52">
                  <c:v>-1160</c:v>
                </c:pt>
                <c:pt idx="53">
                  <c:v>-1087.5</c:v>
                </c:pt>
                <c:pt idx="54">
                  <c:v>942.5</c:v>
                </c:pt>
                <c:pt idx="55">
                  <c:v>1087.5</c:v>
                </c:pt>
                <c:pt idx="56">
                  <c:v>1740</c:v>
                </c:pt>
                <c:pt idx="57">
                  <c:v>2175</c:v>
                </c:pt>
                <c:pt idx="58">
                  <c:v>2465</c:v>
                </c:pt>
                <c:pt idx="59">
                  <c:v>2610</c:v>
                </c:pt>
                <c:pt idx="60">
                  <c:v>0</c:v>
                </c:pt>
                <c:pt idx="61">
                  <c:v>0</c:v>
                </c:pt>
                <c:pt idx="62">
                  <c:v>-2537.5</c:v>
                </c:pt>
                <c:pt idx="63">
                  <c:v>-2537.5</c:v>
                </c:pt>
                <c:pt idx="64">
                  <c:v>-2392.5</c:v>
                </c:pt>
                <c:pt idx="65">
                  <c:v>725</c:v>
                </c:pt>
                <c:pt idx="66">
                  <c:v>725</c:v>
                </c:pt>
                <c:pt idx="67">
                  <c:v>725</c:v>
                </c:pt>
                <c:pt idx="68">
                  <c:v>725</c:v>
                </c:pt>
                <c:pt idx="69">
                  <c:v>725</c:v>
                </c:pt>
                <c:pt idx="70">
                  <c:v>725</c:v>
                </c:pt>
              </c:numCache>
            </c:numRef>
          </c:yVal>
          <c:smooth val="0"/>
          <c:extLst xmlns:c16r2="http://schemas.microsoft.com/office/drawing/2015/06/chart">
            <c:ext xmlns:c16="http://schemas.microsoft.com/office/drawing/2014/chart" uri="{C3380CC4-5D6E-409C-BE32-E72D297353CC}">
              <c16:uniqueId val="{00000004-A669-4368-8D77-039C1A40EC15}"/>
            </c:ext>
          </c:extLst>
        </c:ser>
        <c:dLbls>
          <c:showLegendKey val="0"/>
          <c:showVal val="0"/>
          <c:showCatName val="0"/>
          <c:showSerName val="0"/>
          <c:showPercent val="0"/>
          <c:showBubbleSize val="0"/>
        </c:dLbls>
        <c:axId val="462054296"/>
        <c:axId val="462055864"/>
      </c:scatterChart>
      <c:valAx>
        <c:axId val="46205429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5864"/>
        <c:crosses val="autoZero"/>
        <c:crossBetween val="midCat"/>
        <c:majorUnit val="5"/>
      </c:valAx>
      <c:valAx>
        <c:axId val="4620558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effectLst/>
                  </a:rPr>
                  <a:t>Total Vehicle </a:t>
                </a:r>
                <a:r>
                  <a:rPr lang="en-GB" sz="1400" b="0" i="0" baseline="0">
                    <a:effectLst/>
                  </a:rPr>
                  <a:t>resistance</a:t>
                </a:r>
                <a:r>
                  <a:rPr lang="en-GB" sz="1200" b="0" i="0" baseline="0">
                    <a:effectLst/>
                  </a:rPr>
                  <a:t> (N)</a:t>
                </a:r>
                <a:endParaRPr lang="en-GB" sz="700">
                  <a:effectLst/>
                </a:endParaRPr>
              </a:p>
            </c:rich>
          </c:tx>
          <c:layout>
            <c:manualLayout>
              <c:xMode val="edge"/>
              <c:yMode val="edge"/>
              <c:x val="1.5451744121614529E-2"/>
              <c:y val="0.2789404169294468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054296"/>
        <c:crosses val="autoZero"/>
        <c:crossBetween val="midCat"/>
      </c:valAx>
      <c:spPr>
        <a:noFill/>
        <a:ln>
          <a:noFill/>
        </a:ln>
        <a:effectLst/>
      </c:spPr>
    </c:plotArea>
    <c:legend>
      <c:legendPos val="r"/>
      <c:layout>
        <c:manualLayout>
          <c:xMode val="edge"/>
          <c:yMode val="edge"/>
          <c:x val="0.85175380029693848"/>
          <c:y val="0.60274784390401581"/>
          <c:w val="0.14037737587916135"/>
          <c:h val="0.17168630220730974"/>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b="0" i="0" u="sng" baseline="0">
                <a:effectLst/>
              </a:rPr>
              <a:t>Acceleration Time Graph </a:t>
            </a:r>
            <a:endParaRPr lang="en-GB" sz="1600" u="sng">
              <a:effectLst/>
            </a:endParaRPr>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722389649695999E-2"/>
          <c:y val="0.15375476731411478"/>
          <c:w val="0.9373621033509395"/>
          <c:h val="0.64780815315628426"/>
        </c:manualLayout>
      </c:layout>
      <c:scatterChart>
        <c:scatterStyle val="lineMarker"/>
        <c:varyColors val="0"/>
        <c:ser>
          <c:idx val="0"/>
          <c:order val="0"/>
          <c:tx>
            <c:strRef>
              <c:f>'CW2 Sheet '!$M$1</c:f>
              <c:strCache>
                <c:ptCount val="1"/>
                <c:pt idx="0">
                  <c:v>Acceleration M/s^2</c:v>
                </c:pt>
              </c:strCache>
            </c:strRef>
          </c:tx>
          <c:spPr>
            <a:ln w="19050" cap="rnd">
              <a:solidFill>
                <a:schemeClr val="accent1"/>
              </a:solidFill>
              <a:round/>
            </a:ln>
            <a:effectLst/>
          </c:spPr>
          <c:marker>
            <c:symbol val="circle"/>
            <c:size val="5"/>
            <c:spPr>
              <a:solidFill>
                <a:schemeClr val="bg2">
                  <a:lumMod val="50000"/>
                </a:schemeClr>
              </a:solidFill>
              <a:ln w="9525">
                <a:solidFill>
                  <a:schemeClr val="bg2">
                    <a:lumMod val="50000"/>
                  </a:schemeClr>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'!$M$2:$M$72</c:f>
              <c:numCache>
                <c:formatCode>0.00</c:formatCode>
                <c:ptCount val="71"/>
                <c:pt idx="0">
                  <c:v>0</c:v>
                </c:pt>
                <c:pt idx="1">
                  <c:v>4.5</c:v>
                </c:pt>
                <c:pt idx="2">
                  <c:v>5.9</c:v>
                </c:pt>
                <c:pt idx="3">
                  <c:v>6.1</c:v>
                </c:pt>
                <c:pt idx="4">
                  <c:v>6.2</c:v>
                </c:pt>
                <c:pt idx="5">
                  <c:v>-1.9</c:v>
                </c:pt>
                <c:pt idx="6">
                  <c:v>-2.65</c:v>
                </c:pt>
                <c:pt idx="7">
                  <c:v>-3.33</c:v>
                </c:pt>
                <c:pt idx="8">
                  <c:v>-2.72</c:v>
                </c:pt>
                <c:pt idx="9">
                  <c:v>-0.9</c:v>
                </c:pt>
                <c:pt idx="10">
                  <c:v>-0.64</c:v>
                </c:pt>
                <c:pt idx="11">
                  <c:v>-0.34</c:v>
                </c:pt>
                <c:pt idx="12">
                  <c:v>-0.33</c:v>
                </c:pt>
                <c:pt idx="13">
                  <c:v>-2.5</c:v>
                </c:pt>
                <c:pt idx="14">
                  <c:v>-2.9</c:v>
                </c:pt>
                <c:pt idx="15">
                  <c:v>-3</c:v>
                </c:pt>
                <c:pt idx="16">
                  <c:v>-1</c:v>
                </c:pt>
                <c:pt idx="17">
                  <c:v>1</c:v>
                </c:pt>
                <c:pt idx="18">
                  <c:v>1.96</c:v>
                </c:pt>
                <c:pt idx="19">
                  <c:v>-1.6</c:v>
                </c:pt>
                <c:pt idx="20">
                  <c:v>-1.3</c:v>
                </c:pt>
                <c:pt idx="21">
                  <c:v>-0.5</c:v>
                </c:pt>
                <c:pt idx="22">
                  <c:v>0.20100000000000001</c:v>
                </c:pt>
                <c:pt idx="23">
                  <c:v>0.37</c:v>
                </c:pt>
                <c:pt idx="24">
                  <c:v>0.4</c:v>
                </c:pt>
                <c:pt idx="25">
                  <c:v>0.4</c:v>
                </c:pt>
                <c:pt idx="26">
                  <c:v>2.3E-2</c:v>
                </c:pt>
                <c:pt idx="27">
                  <c:v>2.3E-2</c:v>
                </c:pt>
                <c:pt idx="28">
                  <c:v>1.2E-2</c:v>
                </c:pt>
                <c:pt idx="29">
                  <c:v>6.0000000000000001E-3</c:v>
                </c:pt>
                <c:pt idx="30">
                  <c:v>2.6</c:v>
                </c:pt>
                <c:pt idx="31">
                  <c:v>4.9000000000000004</c:v>
                </c:pt>
                <c:pt idx="32">
                  <c:v>5.3</c:v>
                </c:pt>
                <c:pt idx="33">
                  <c:v>1.5</c:v>
                </c:pt>
                <c:pt idx="34">
                  <c:v>-0.8</c:v>
                </c:pt>
                <c:pt idx="35">
                  <c:v>-1.51</c:v>
                </c:pt>
                <c:pt idx="36">
                  <c:v>-2.8</c:v>
                </c:pt>
                <c:pt idx="37">
                  <c:v>-3.1</c:v>
                </c:pt>
                <c:pt idx="38">
                  <c:v>-2</c:v>
                </c:pt>
                <c:pt idx="39">
                  <c:v>0.4</c:v>
                </c:pt>
                <c:pt idx="40">
                  <c:v>0.9</c:v>
                </c:pt>
                <c:pt idx="41">
                  <c:v>1.3</c:v>
                </c:pt>
                <c:pt idx="42">
                  <c:v>4.5</c:v>
                </c:pt>
                <c:pt idx="43">
                  <c:v>4.5</c:v>
                </c:pt>
                <c:pt idx="44">
                  <c:v>4.3</c:v>
                </c:pt>
                <c:pt idx="45">
                  <c:v>1.5</c:v>
                </c:pt>
                <c:pt idx="46">
                  <c:v>-2.7</c:v>
                </c:pt>
                <c:pt idx="47">
                  <c:v>-2.9</c:v>
                </c:pt>
                <c:pt idx="48">
                  <c:v>-2.9</c:v>
                </c:pt>
                <c:pt idx="49">
                  <c:v>-2</c:v>
                </c:pt>
                <c:pt idx="50">
                  <c:v>-2</c:v>
                </c:pt>
                <c:pt idx="51">
                  <c:v>-1.9</c:v>
                </c:pt>
                <c:pt idx="52">
                  <c:v>-1.6</c:v>
                </c:pt>
                <c:pt idx="53">
                  <c:v>-1.5</c:v>
                </c:pt>
                <c:pt idx="54">
                  <c:v>1.3</c:v>
                </c:pt>
                <c:pt idx="55">
                  <c:v>1.5</c:v>
                </c:pt>
                <c:pt idx="56">
                  <c:v>2.4</c:v>
                </c:pt>
                <c:pt idx="57">
                  <c:v>3</c:v>
                </c:pt>
                <c:pt idx="58">
                  <c:v>3.4</c:v>
                </c:pt>
                <c:pt idx="59">
                  <c:v>3.6</c:v>
                </c:pt>
                <c:pt idx="60">
                  <c:v>0</c:v>
                </c:pt>
                <c:pt idx="61">
                  <c:v>0</c:v>
                </c:pt>
                <c:pt idx="62">
                  <c:v>-3.5</c:v>
                </c:pt>
                <c:pt idx="63">
                  <c:v>-3.5</c:v>
                </c:pt>
                <c:pt idx="64">
                  <c:v>-3.3</c:v>
                </c:pt>
                <c:pt idx="65">
                  <c:v>1</c:v>
                </c:pt>
                <c:pt idx="66">
                  <c:v>1</c:v>
                </c:pt>
                <c:pt idx="67">
                  <c:v>1</c:v>
                </c:pt>
                <c:pt idx="68">
                  <c:v>1</c:v>
                </c:pt>
                <c:pt idx="69">
                  <c:v>1</c:v>
                </c:pt>
                <c:pt idx="70">
                  <c:v>1</c:v>
                </c:pt>
              </c:numCache>
            </c:numRef>
          </c:yVal>
          <c:smooth val="0"/>
          <c:extLst xmlns:c16r2="http://schemas.microsoft.com/office/drawing/2015/06/chart">
            <c:ext xmlns:c16="http://schemas.microsoft.com/office/drawing/2014/chart" uri="{C3380CC4-5D6E-409C-BE32-E72D297353CC}">
              <c16:uniqueId val="{00000000-F194-4D9F-9080-BCA828E2C3B0}"/>
            </c:ext>
          </c:extLst>
        </c:ser>
        <c:ser>
          <c:idx val="1"/>
          <c:order val="1"/>
          <c:tx>
            <c:strRef>
              <c:f>Sheet1!$E$25</c:f>
              <c:strCache>
                <c:ptCount val="1"/>
                <c:pt idx="0">
                  <c:v>Max Acceleration m/s²</c:v>
                </c:pt>
              </c:strCache>
            </c:strRef>
          </c:tx>
          <c:spPr>
            <a:ln w="28575" cap="rnd">
              <a:solidFill>
                <a:srgbClr val="0070C0"/>
              </a:solidFill>
              <a:round/>
            </a:ln>
            <a:effectLst/>
          </c:spPr>
          <c:marker>
            <c:symbol val="none"/>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Sheet1!$Y$5:$Y$31</c:f>
              <c:numCache>
                <c:formatCode>General</c:formatCode>
                <c:ptCount val="27"/>
                <c:pt idx="0">
                  <c:v>7.6639999999999997</c:v>
                </c:pt>
                <c:pt idx="1">
                  <c:v>7.6639999999999997</c:v>
                </c:pt>
                <c:pt idx="2">
                  <c:v>7.6639999999999997</c:v>
                </c:pt>
                <c:pt idx="3">
                  <c:v>7.6639999999999997</c:v>
                </c:pt>
                <c:pt idx="4">
                  <c:v>7.6639999999999997</c:v>
                </c:pt>
                <c:pt idx="5">
                  <c:v>7.6639999999999997</c:v>
                </c:pt>
                <c:pt idx="6">
                  <c:v>7.6639999999999997</c:v>
                </c:pt>
                <c:pt idx="7">
                  <c:v>7.6639999999999997</c:v>
                </c:pt>
                <c:pt idx="8">
                  <c:v>7.6639999999999997</c:v>
                </c:pt>
                <c:pt idx="9">
                  <c:v>7.6639999999999997</c:v>
                </c:pt>
                <c:pt idx="10">
                  <c:v>7.6639999999999997</c:v>
                </c:pt>
                <c:pt idx="11">
                  <c:v>7.6639999999999997</c:v>
                </c:pt>
                <c:pt idx="12">
                  <c:v>7.6639999999999997</c:v>
                </c:pt>
                <c:pt idx="13">
                  <c:v>7.6639999999999997</c:v>
                </c:pt>
                <c:pt idx="14">
                  <c:v>7.6639999999999997</c:v>
                </c:pt>
                <c:pt idx="15">
                  <c:v>7.6639999999999997</c:v>
                </c:pt>
                <c:pt idx="16">
                  <c:v>7.6639999999999997</c:v>
                </c:pt>
                <c:pt idx="17">
                  <c:v>7.6639999999999997</c:v>
                </c:pt>
                <c:pt idx="18">
                  <c:v>7.6639999999999997</c:v>
                </c:pt>
                <c:pt idx="19">
                  <c:v>7.6639999999999997</c:v>
                </c:pt>
                <c:pt idx="20">
                  <c:v>7.6639999999999997</c:v>
                </c:pt>
                <c:pt idx="21">
                  <c:v>7.6639999999999997</c:v>
                </c:pt>
                <c:pt idx="22">
                  <c:v>7.6639999999999997</c:v>
                </c:pt>
                <c:pt idx="23">
                  <c:v>7.6639999999999997</c:v>
                </c:pt>
                <c:pt idx="24">
                  <c:v>7.6639999999999997</c:v>
                </c:pt>
                <c:pt idx="25">
                  <c:v>7.6639999999999997</c:v>
                </c:pt>
                <c:pt idx="26">
                  <c:v>7.6639999999999997</c:v>
                </c:pt>
              </c:numCache>
            </c:numRef>
          </c:yVal>
          <c:smooth val="0"/>
          <c:extLst xmlns:c16r2="http://schemas.microsoft.com/office/drawing/2015/06/chart">
            <c:ext xmlns:c16="http://schemas.microsoft.com/office/drawing/2014/chart" uri="{C3380CC4-5D6E-409C-BE32-E72D297353CC}">
              <c16:uniqueId val="{00000001-F194-4D9F-9080-BCA828E2C3B0}"/>
            </c:ext>
          </c:extLst>
        </c:ser>
        <c:dLbls>
          <c:showLegendKey val="0"/>
          <c:showVal val="0"/>
          <c:showCatName val="0"/>
          <c:showSerName val="0"/>
          <c:showPercent val="0"/>
          <c:showBubbleSize val="0"/>
        </c:dLbls>
        <c:axId val="462573776"/>
        <c:axId val="462578480"/>
      </c:scatterChart>
      <c:valAx>
        <c:axId val="462573776"/>
        <c:scaling>
          <c:orientation val="minMax"/>
          <c:max val="68"/>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Time (s)</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8480"/>
        <c:crosses val="autoZero"/>
        <c:crossBetween val="midCat"/>
        <c:majorUnit val="2"/>
      </c:valAx>
      <c:valAx>
        <c:axId val="462578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Acceleration (m/s</a:t>
                </a:r>
                <a:r>
                  <a:rPr lang="en-GB" sz="1400" b="0" i="0" baseline="0">
                    <a:effectLst/>
                    <a:latin typeface="Times New Roman" panose="02020603050405020304" pitchFamily="18" charset="0"/>
                    <a:cs typeface="Times New Roman" panose="02020603050405020304" pitchFamily="18" charset="0"/>
                  </a:rPr>
                  <a:t>²</a:t>
                </a:r>
                <a:r>
                  <a:rPr lang="en-GB" sz="1400" b="0" i="0" baseline="0">
                    <a:effectLst/>
                  </a:rPr>
                  <a:t>)</a:t>
                </a:r>
                <a:endParaRPr lang="en-GB" sz="1400">
                  <a:effectLst/>
                </a:endParaRP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3776"/>
        <c:crosses val="autoZero"/>
        <c:crossBetween val="midCat"/>
      </c:valAx>
      <c:spPr>
        <a:noFill/>
        <a:ln>
          <a:noFill/>
        </a:ln>
        <a:effectLst/>
      </c:spPr>
    </c:plotArea>
    <c:legend>
      <c:legendPos val="r"/>
      <c:layout>
        <c:manualLayout>
          <c:xMode val="edge"/>
          <c:yMode val="edge"/>
          <c:x val="0.87005860612217745"/>
          <c:y val="0.3154299891638514"/>
          <c:w val="0.10577475411449831"/>
          <c:h val="0.12362727456008613"/>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Grading Resistance Time</a:t>
            </a:r>
            <a:r>
              <a:rPr lang="en-US" sz="1600" u="sng" baseline="0"/>
              <a:t> Graph</a:t>
            </a:r>
          </a:p>
        </c:rich>
      </c:tx>
      <c:layout>
        <c:manualLayout>
          <c:xMode val="edge"/>
          <c:yMode val="edge"/>
          <c:x val="0.37713105774673833"/>
          <c:y val="1.1891700318852068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'CW2 Sheet '!$Z$1</c:f>
              <c:strCache>
                <c:ptCount val="1"/>
                <c:pt idx="0">
                  <c:v>Gradient resistance N</c:v>
                </c:pt>
              </c:strCache>
            </c:strRef>
          </c:tx>
          <c:spPr>
            <a:ln w="19050" cap="rnd">
              <a:solidFill>
                <a:schemeClr val="accent1"/>
              </a:solidFill>
              <a:round/>
            </a:ln>
            <a:effectLst/>
          </c:spPr>
          <c:marker>
            <c:symbol val="circle"/>
            <c:size val="5"/>
            <c:spPr>
              <a:solidFill>
                <a:schemeClr val="bg2">
                  <a:lumMod val="50000"/>
                </a:schemeClr>
              </a:solidFill>
              <a:ln w="9525">
                <a:solidFill>
                  <a:schemeClr val="bg2">
                    <a:lumMod val="50000"/>
                  </a:schemeClr>
                </a:solidFill>
              </a:ln>
              <a:effectLst/>
            </c:spPr>
          </c:marker>
          <c:xVal>
            <c:numRef>
              <c:f>'CW2 Sheet '!$L$2:$L$70</c:f>
              <c:numCache>
                <c:formatCode>General</c:formatCode>
                <c:ptCount val="6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numCache>
            </c:numRef>
          </c:xVal>
          <c:yVal>
            <c:numRef>
              <c:f>'CW2 Sheet '!$Z$2:$Z$72</c:f>
              <c:numCache>
                <c:formatCode>General</c:formatCode>
                <c:ptCount val="71"/>
                <c:pt idx="0">
                  <c:v>0</c:v>
                </c:pt>
                <c:pt idx="1">
                  <c:v>99.302517117085955</c:v>
                </c:pt>
                <c:pt idx="2">
                  <c:v>99.302517117085955</c:v>
                </c:pt>
                <c:pt idx="3">
                  <c:v>106.7496660963305</c:v>
                </c:pt>
                <c:pt idx="4">
                  <c:v>882.44583333333344</c:v>
                </c:pt>
                <c:pt idx="5">
                  <c:v>882.44583333333344</c:v>
                </c:pt>
                <c:pt idx="6">
                  <c:v>882.44583333333344</c:v>
                </c:pt>
                <c:pt idx="7">
                  <c:v>882.44583333333344</c:v>
                </c:pt>
                <c:pt idx="8">
                  <c:v>517.25454545454545</c:v>
                </c:pt>
                <c:pt idx="9">
                  <c:v>517.25454545454545</c:v>
                </c:pt>
                <c:pt idx="10">
                  <c:v>517.25454545454545</c:v>
                </c:pt>
                <c:pt idx="11">
                  <c:v>517.25454545454545</c:v>
                </c:pt>
                <c:pt idx="12">
                  <c:v>-491.0839285714286</c:v>
                </c:pt>
                <c:pt idx="13">
                  <c:v>-491.0839285714286</c:v>
                </c:pt>
                <c:pt idx="14">
                  <c:v>-491.0839285714286</c:v>
                </c:pt>
                <c:pt idx="15">
                  <c:v>-491.0839285714286</c:v>
                </c:pt>
                <c:pt idx="16">
                  <c:v>-508.01785714285711</c:v>
                </c:pt>
                <c:pt idx="17">
                  <c:v>-508.01785714285711</c:v>
                </c:pt>
                <c:pt idx="18">
                  <c:v>-995.71499999999992</c:v>
                </c:pt>
                <c:pt idx="19">
                  <c:v>-995.71499999999992</c:v>
                </c:pt>
                <c:pt idx="20">
                  <c:v>-995.71499999999992</c:v>
                </c:pt>
                <c:pt idx="21">
                  <c:v>-995.71499999999992</c:v>
                </c:pt>
                <c:pt idx="22">
                  <c:v>-995.71499999999992</c:v>
                </c:pt>
                <c:pt idx="23">
                  <c:v>-995.71499999999992</c:v>
                </c:pt>
                <c:pt idx="24">
                  <c:v>-995.71499999999992</c:v>
                </c:pt>
                <c:pt idx="25">
                  <c:v>-1778.0625</c:v>
                </c:pt>
                <c:pt idx="26">
                  <c:v>-1778.0625</c:v>
                </c:pt>
                <c:pt idx="27">
                  <c:v>-1778.0625</c:v>
                </c:pt>
                <c:pt idx="28">
                  <c:v>-1778.0625</c:v>
                </c:pt>
                <c:pt idx="29">
                  <c:v>0</c:v>
                </c:pt>
                <c:pt idx="30">
                  <c:v>0</c:v>
                </c:pt>
                <c:pt idx="31">
                  <c:v>0</c:v>
                </c:pt>
                <c:pt idx="32">
                  <c:v>0</c:v>
                </c:pt>
                <c:pt idx="33">
                  <c:v>0</c:v>
                </c:pt>
                <c:pt idx="34">
                  <c:v>0</c:v>
                </c:pt>
                <c:pt idx="35">
                  <c:v>-927.68478260869563</c:v>
                </c:pt>
                <c:pt idx="36">
                  <c:v>-927.68478260869563</c:v>
                </c:pt>
                <c:pt idx="37">
                  <c:v>-927.68478260869563</c:v>
                </c:pt>
                <c:pt idx="38">
                  <c:v>-910.36800000000005</c:v>
                </c:pt>
                <c:pt idx="39">
                  <c:v>-910.36800000000005</c:v>
                </c:pt>
                <c:pt idx="40">
                  <c:v>-910.36800000000005</c:v>
                </c:pt>
                <c:pt idx="41">
                  <c:v>0</c:v>
                </c:pt>
                <c:pt idx="42">
                  <c:v>0</c:v>
                </c:pt>
                <c:pt idx="43">
                  <c:v>0</c:v>
                </c:pt>
                <c:pt idx="44">
                  <c:v>912.3334072718734</c:v>
                </c:pt>
                <c:pt idx="45">
                  <c:v>1138.3403135984709</c:v>
                </c:pt>
                <c:pt idx="46">
                  <c:v>473.83370477674919</c:v>
                </c:pt>
                <c:pt idx="47">
                  <c:v>1137.96</c:v>
                </c:pt>
                <c:pt idx="48">
                  <c:v>853.21088766614412</c:v>
                </c:pt>
                <c:pt idx="49">
                  <c:v>853.21088766614412</c:v>
                </c:pt>
                <c:pt idx="50">
                  <c:v>853.21088766614412</c:v>
                </c:pt>
                <c:pt idx="51">
                  <c:v>853.21088766614412</c:v>
                </c:pt>
                <c:pt idx="52">
                  <c:v>853.21088766614412</c:v>
                </c:pt>
                <c:pt idx="53">
                  <c:v>-246.97337603059606</c:v>
                </c:pt>
                <c:pt idx="54">
                  <c:v>-246.97337603059606</c:v>
                </c:pt>
                <c:pt idx="55">
                  <c:v>-246.97337603059606</c:v>
                </c:pt>
                <c:pt idx="56">
                  <c:v>-682.91454997105848</c:v>
                </c:pt>
                <c:pt idx="57">
                  <c:v>-682.91454997105836</c:v>
                </c:pt>
                <c:pt idx="58">
                  <c:v>-682.91454997105836</c:v>
                </c:pt>
                <c:pt idx="59">
                  <c:v>-941.87091472908469</c:v>
                </c:pt>
                <c:pt idx="60">
                  <c:v>-995.97971631658891</c:v>
                </c:pt>
                <c:pt idx="61">
                  <c:v>-995.97971631658891</c:v>
                </c:pt>
                <c:pt idx="62">
                  <c:v>-995.97971631658891</c:v>
                </c:pt>
                <c:pt idx="63">
                  <c:v>-875.38907281959462</c:v>
                </c:pt>
                <c:pt idx="64">
                  <c:v>-875.38907281959462</c:v>
                </c:pt>
                <c:pt idx="65">
                  <c:v>-380.90346909503313</c:v>
                </c:pt>
                <c:pt idx="66">
                  <c:v>-380.90346909503307</c:v>
                </c:pt>
                <c:pt idx="67">
                  <c:v>-380.90346909503313</c:v>
                </c:pt>
                <c:pt idx="68">
                  <c:v>-380.90346909503313</c:v>
                </c:pt>
                <c:pt idx="69">
                  <c:v>-380.90346909503313</c:v>
                </c:pt>
                <c:pt idx="70">
                  <c:v>706.3868901141966</c:v>
                </c:pt>
              </c:numCache>
            </c:numRef>
          </c:yVal>
          <c:smooth val="0"/>
          <c:extLst xmlns:c16r2="http://schemas.microsoft.com/office/drawing/2015/06/chart">
            <c:ext xmlns:c16="http://schemas.microsoft.com/office/drawing/2014/chart" uri="{C3380CC4-5D6E-409C-BE32-E72D297353CC}">
              <c16:uniqueId val="{00000000-4FA6-4725-81EF-5BB1A5556C49}"/>
            </c:ext>
          </c:extLst>
        </c:ser>
        <c:dLbls>
          <c:showLegendKey val="0"/>
          <c:showVal val="0"/>
          <c:showCatName val="0"/>
          <c:showSerName val="0"/>
          <c:showPercent val="0"/>
          <c:showBubbleSize val="0"/>
        </c:dLbls>
        <c:axId val="462578872"/>
        <c:axId val="462578088"/>
      </c:scatterChart>
      <c:valAx>
        <c:axId val="462578872"/>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50221108846265494"/>
              <c:y val="0.90904324014188576"/>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8088"/>
        <c:crosses val="autoZero"/>
        <c:crossBetween val="midCat"/>
        <c:majorUnit val="5"/>
      </c:valAx>
      <c:valAx>
        <c:axId val="462578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US" sz="1400" b="0" i="0" baseline="0">
                    <a:effectLst/>
                  </a:rPr>
                  <a:t>Grading Resistance (N)</a:t>
                </a:r>
                <a:endParaRPr lang="en-GB" sz="1400">
                  <a:effectLst/>
                </a:endParaRP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8872"/>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2000" u="sng"/>
              <a:t>Height</a:t>
            </a:r>
            <a:r>
              <a:rPr lang="en-GB" sz="2000" u="sng" baseline="0"/>
              <a:t> up the hill in relation to distance along track</a:t>
            </a:r>
            <a:endParaRPr lang="en-GB" sz="2000" u="sng"/>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688044457882649E-2"/>
          <c:y val="6.8040071363817414E-2"/>
          <c:w val="0.87180672007986204"/>
          <c:h val="0.77591034888230903"/>
        </c:manualLayout>
      </c:layout>
      <c:lineChart>
        <c:grouping val="standard"/>
        <c:varyColors val="0"/>
        <c:ser>
          <c:idx val="0"/>
          <c:order val="0"/>
          <c:tx>
            <c:strRef>
              <c:f>'CW2 Sheet '!$U$1</c:f>
              <c:strCache>
                <c:ptCount val="1"/>
                <c:pt idx="0">
                  <c:v>Height up hill </c:v>
                </c:pt>
              </c:strCache>
            </c:strRef>
          </c:tx>
          <c:spPr>
            <a:ln w="28575" cap="rnd">
              <a:solidFill>
                <a:schemeClr val="accent1"/>
              </a:solidFill>
              <a:round/>
            </a:ln>
            <a:effectLst/>
          </c:spPr>
          <c:marker>
            <c:symbol val="circle"/>
            <c:size val="5"/>
            <c:spPr>
              <a:solidFill>
                <a:schemeClr val="bg2">
                  <a:lumMod val="50000"/>
                </a:schemeClr>
              </a:solidFill>
              <a:ln w="9525">
                <a:solidFill>
                  <a:schemeClr val="bg2">
                    <a:lumMod val="50000"/>
                  </a:schemeClr>
                </a:solidFill>
              </a:ln>
              <a:effectLst/>
              <a:scene3d>
                <a:camera prst="orthographicFront"/>
                <a:lightRig rig="threePt" dir="t"/>
              </a:scene3d>
              <a:sp3d prstMaterial="dkEdge"/>
            </c:spPr>
          </c:marker>
          <c:cat>
            <c:numRef>
              <c:f>'CW2 Sheet '!$R$2:$R$72</c:f>
              <c:numCache>
                <c:formatCode>0.00</c:formatCode>
                <c:ptCount val="71"/>
                <c:pt idx="0">
                  <c:v>0</c:v>
                </c:pt>
                <c:pt idx="1">
                  <c:v>4.5</c:v>
                </c:pt>
                <c:pt idx="2">
                  <c:v>14.9</c:v>
                </c:pt>
                <c:pt idx="3">
                  <c:v>31.4</c:v>
                </c:pt>
                <c:pt idx="4">
                  <c:v>54.099999999999994</c:v>
                </c:pt>
                <c:pt idx="5">
                  <c:v>74.899999999999991</c:v>
                </c:pt>
                <c:pt idx="6">
                  <c:v>93.05</c:v>
                </c:pt>
                <c:pt idx="7">
                  <c:v>107.87</c:v>
                </c:pt>
                <c:pt idx="8">
                  <c:v>119.97</c:v>
                </c:pt>
                <c:pt idx="9">
                  <c:v>131.16999999999999</c:v>
                </c:pt>
                <c:pt idx="10">
                  <c:v>141.72999999999999</c:v>
                </c:pt>
                <c:pt idx="11">
                  <c:v>151.94999999999999</c:v>
                </c:pt>
                <c:pt idx="12">
                  <c:v>161.83999999999997</c:v>
                </c:pt>
                <c:pt idx="13">
                  <c:v>169.22999999999996</c:v>
                </c:pt>
                <c:pt idx="14">
                  <c:v>173.71999999999997</c:v>
                </c:pt>
                <c:pt idx="15">
                  <c:v>175.20999999999998</c:v>
                </c:pt>
                <c:pt idx="16">
                  <c:v>175.7</c:v>
                </c:pt>
                <c:pt idx="17">
                  <c:v>177.19</c:v>
                </c:pt>
                <c:pt idx="18">
                  <c:v>180.64</c:v>
                </c:pt>
                <c:pt idx="19">
                  <c:v>182.48999999999998</c:v>
                </c:pt>
                <c:pt idx="20">
                  <c:v>183.04</c:v>
                </c:pt>
                <c:pt idx="21">
                  <c:v>183.09</c:v>
                </c:pt>
                <c:pt idx="22">
                  <c:v>183.34100000000001</c:v>
                </c:pt>
                <c:pt idx="23">
                  <c:v>183.96200000000002</c:v>
                </c:pt>
                <c:pt idx="24">
                  <c:v>184.983</c:v>
                </c:pt>
                <c:pt idx="25">
                  <c:v>186.404</c:v>
                </c:pt>
                <c:pt idx="26">
                  <c:v>187.84799999999998</c:v>
                </c:pt>
                <c:pt idx="27">
                  <c:v>189.315</c:v>
                </c:pt>
                <c:pt idx="28">
                  <c:v>190.79400000000001</c:v>
                </c:pt>
                <c:pt idx="29">
                  <c:v>192.27900000000002</c:v>
                </c:pt>
                <c:pt idx="30">
                  <c:v>196.36400000000003</c:v>
                </c:pt>
                <c:pt idx="31">
                  <c:v>205.34900000000005</c:v>
                </c:pt>
                <c:pt idx="32">
                  <c:v>219.63400000000004</c:v>
                </c:pt>
                <c:pt idx="33">
                  <c:v>235.41900000000004</c:v>
                </c:pt>
                <c:pt idx="34">
                  <c:v>250.40400000000005</c:v>
                </c:pt>
                <c:pt idx="35">
                  <c:v>263.87900000000008</c:v>
                </c:pt>
                <c:pt idx="36">
                  <c:v>274.55400000000009</c:v>
                </c:pt>
                <c:pt idx="37">
                  <c:v>282.12900000000008</c:v>
                </c:pt>
                <c:pt idx="38">
                  <c:v>287.70400000000006</c:v>
                </c:pt>
                <c:pt idx="39">
                  <c:v>293.67900000000009</c:v>
                </c:pt>
                <c:pt idx="40">
                  <c:v>300.55400000000009</c:v>
                </c:pt>
                <c:pt idx="41">
                  <c:v>308.7290000000001</c:v>
                </c:pt>
                <c:pt idx="42">
                  <c:v>321.40400000000011</c:v>
                </c:pt>
                <c:pt idx="43">
                  <c:v>338.57900000000012</c:v>
                </c:pt>
                <c:pt idx="44">
                  <c:v>360.05400000000014</c:v>
                </c:pt>
                <c:pt idx="45">
                  <c:v>383.02900000000017</c:v>
                </c:pt>
                <c:pt idx="46">
                  <c:v>403.3040000000002</c:v>
                </c:pt>
                <c:pt idx="47">
                  <c:v>420.6790000000002</c:v>
                </c:pt>
                <c:pt idx="48">
                  <c:v>435.15400000000022</c:v>
                </c:pt>
                <c:pt idx="49">
                  <c:v>447.62900000000025</c:v>
                </c:pt>
                <c:pt idx="50">
                  <c:v>458.10400000000027</c:v>
                </c:pt>
                <c:pt idx="51">
                  <c:v>466.67900000000026</c:v>
                </c:pt>
                <c:pt idx="52">
                  <c:v>473.65400000000028</c:v>
                </c:pt>
                <c:pt idx="53">
                  <c:v>479.1290000000003</c:v>
                </c:pt>
                <c:pt idx="54">
                  <c:v>485.90400000000034</c:v>
                </c:pt>
                <c:pt idx="55">
                  <c:v>494.17900000000031</c:v>
                </c:pt>
                <c:pt idx="56">
                  <c:v>504.85400000000033</c:v>
                </c:pt>
                <c:pt idx="57">
                  <c:v>518.52900000000034</c:v>
                </c:pt>
                <c:pt idx="58">
                  <c:v>535.60400000000038</c:v>
                </c:pt>
                <c:pt idx="59">
                  <c:v>556.27900000000034</c:v>
                </c:pt>
                <c:pt idx="60">
                  <c:v>576.95400000000029</c:v>
                </c:pt>
                <c:pt idx="61">
                  <c:v>597.62900000000025</c:v>
                </c:pt>
                <c:pt idx="62">
                  <c:v>614.8040000000002</c:v>
                </c:pt>
                <c:pt idx="63">
                  <c:v>628.47900000000016</c:v>
                </c:pt>
                <c:pt idx="64">
                  <c:v>638.85400000000016</c:v>
                </c:pt>
                <c:pt idx="65">
                  <c:v>650.22900000000016</c:v>
                </c:pt>
                <c:pt idx="66">
                  <c:v>662.60400000000016</c:v>
                </c:pt>
                <c:pt idx="67">
                  <c:v>675.97900000000016</c:v>
                </c:pt>
                <c:pt idx="68">
                  <c:v>690.35400000000016</c:v>
                </c:pt>
                <c:pt idx="69">
                  <c:v>705.72900000000016</c:v>
                </c:pt>
                <c:pt idx="70">
                  <c:v>722.10400000000016</c:v>
                </c:pt>
              </c:numCache>
            </c:numRef>
          </c:cat>
          <c:val>
            <c:numRef>
              <c:f>'CW2 Sheet '!$U$2:$U$72</c:f>
              <c:numCache>
                <c:formatCode>0.00</c:formatCode>
                <c:ptCount val="71"/>
                <c:pt idx="0">
                  <c:v>8</c:v>
                </c:pt>
                <c:pt idx="1">
                  <c:v>8.0628298115261536</c:v>
                </c:pt>
                <c:pt idx="2">
                  <c:v>8.2080364870532652</c:v>
                </c:pt>
                <c:pt idx="3">
                  <c:v>8.455689408504206</c:v>
                </c:pt>
                <c:pt idx="4">
                  <c:v>11.272170889985688</c:v>
                </c:pt>
                <c:pt idx="5">
                  <c:v>13.852911630726428</c:v>
                </c:pt>
                <c:pt idx="6">
                  <c:v>16.104856075170872</c:v>
                </c:pt>
                <c:pt idx="7">
                  <c:v>17.943633852948651</c:v>
                </c:pt>
                <c:pt idx="8">
                  <c:v>18.82363385294865</c:v>
                </c:pt>
                <c:pt idx="9">
                  <c:v>19.638179307494106</c:v>
                </c:pt>
                <c:pt idx="10">
                  <c:v>20.406179307494106</c:v>
                </c:pt>
                <c:pt idx="11">
                  <c:v>21.149452034766835</c:v>
                </c:pt>
                <c:pt idx="12">
                  <c:v>20.466571082385883</c:v>
                </c:pt>
                <c:pt idx="13">
                  <c:v>19.956309177623979</c:v>
                </c:pt>
                <c:pt idx="14">
                  <c:v>19.64628536810017</c:v>
                </c:pt>
                <c:pt idx="15">
                  <c:v>19.543404415719216</c:v>
                </c:pt>
                <c:pt idx="16">
                  <c:v>19.508404415719216</c:v>
                </c:pt>
                <c:pt idx="17">
                  <c:v>19.401975844290643</c:v>
                </c:pt>
                <c:pt idx="18">
                  <c:v>18.918975844290642</c:v>
                </c:pt>
                <c:pt idx="19">
                  <c:v>18.659975844290642</c:v>
                </c:pt>
                <c:pt idx="20">
                  <c:v>18.58297584429064</c:v>
                </c:pt>
                <c:pt idx="21">
                  <c:v>18.575975844290639</c:v>
                </c:pt>
                <c:pt idx="22">
                  <c:v>18.54083584429064</c:v>
                </c:pt>
                <c:pt idx="23">
                  <c:v>18.453895844290642</c:v>
                </c:pt>
                <c:pt idx="24">
                  <c:v>18.310955844290643</c:v>
                </c:pt>
                <c:pt idx="25">
                  <c:v>17.955705844290641</c:v>
                </c:pt>
                <c:pt idx="26">
                  <c:v>17.59470584429064</c:v>
                </c:pt>
                <c:pt idx="27">
                  <c:v>17.227955844290641</c:v>
                </c:pt>
                <c:pt idx="28">
                  <c:v>16.858205844290641</c:v>
                </c:pt>
                <c:pt idx="29">
                  <c:v>16.858205844290641</c:v>
                </c:pt>
                <c:pt idx="30">
                  <c:v>16.858205844290641</c:v>
                </c:pt>
                <c:pt idx="31">
                  <c:v>16.858205844290641</c:v>
                </c:pt>
                <c:pt idx="32">
                  <c:v>16.858205844290641</c:v>
                </c:pt>
                <c:pt idx="33">
                  <c:v>16.858205844290641</c:v>
                </c:pt>
                <c:pt idx="34">
                  <c:v>16.858205844290641</c:v>
                </c:pt>
                <c:pt idx="35">
                  <c:v>15.100597148638467</c:v>
                </c:pt>
                <c:pt idx="36">
                  <c:v>13.70820584429064</c:v>
                </c:pt>
                <c:pt idx="37">
                  <c:v>12.72016236602977</c:v>
                </c:pt>
                <c:pt idx="38">
                  <c:v>12.006562366029771</c:v>
                </c:pt>
                <c:pt idx="39">
                  <c:v>11.241762366029771</c:v>
                </c:pt>
                <c:pt idx="40">
                  <c:v>10.361762366029771</c:v>
                </c:pt>
                <c:pt idx="41">
                  <c:v>10.361762366029771</c:v>
                </c:pt>
                <c:pt idx="42">
                  <c:v>10.361762366029771</c:v>
                </c:pt>
                <c:pt idx="43">
                  <c:v>10.361762366029771</c:v>
                </c:pt>
                <c:pt idx="44">
                  <c:v>13.116496792007975</c:v>
                </c:pt>
                <c:pt idx="45">
                  <c:v>16.793725335004197</c:v>
                </c:pt>
                <c:pt idx="46">
                  <c:v>18.144490334033843</c:v>
                </c:pt>
                <c:pt idx="47">
                  <c:v>20.924490334033845</c:v>
                </c:pt>
                <c:pt idx="48">
                  <c:v>22.660962983190924</c:v>
                </c:pt>
                <c:pt idx="49">
                  <c:v>24.157508496022327</c:v>
                </c:pt>
                <c:pt idx="50">
                  <c:v>25.414126872528055</c:v>
                </c:pt>
                <c:pt idx="51">
                  <c:v>26.442814469524389</c:v>
                </c:pt>
                <c:pt idx="52">
                  <c:v>27.279560357460184</c:v>
                </c:pt>
                <c:pt idx="53">
                  <c:v>27.089440601578779</c:v>
                </c:pt>
                <c:pt idx="54">
                  <c:v>26.854178255259782</c:v>
                </c:pt>
                <c:pt idx="55">
                  <c:v>26.566828304589716</c:v>
                </c:pt>
                <c:pt idx="56">
                  <c:v>25.541820350575016</c:v>
                </c:pt>
                <c:pt idx="57">
                  <c:v>24.228753955151031</c:v>
                </c:pt>
                <c:pt idx="58">
                  <c:v>22.589221326129859</c:v>
                </c:pt>
                <c:pt idx="59">
                  <c:v>21.490776358465897</c:v>
                </c:pt>
                <c:pt idx="60">
                  <c:v>18.595506839699617</c:v>
                </c:pt>
                <c:pt idx="61">
                  <c:v>15.700237320933336</c:v>
                </c:pt>
                <c:pt idx="62">
                  <c:v>13.2950980713657</c:v>
                </c:pt>
                <c:pt idx="63">
                  <c:v>11.611953416606944</c:v>
                </c:pt>
                <c:pt idx="64">
                  <c:v>10.334978952758894</c:v>
                </c:pt>
                <c:pt idx="65">
                  <c:v>9.7257797596827213</c:v>
                </c:pt>
                <c:pt idx="66">
                  <c:v>9.0630245935888638</c:v>
                </c:pt>
                <c:pt idx="67">
                  <c:v>8.3467134544773209</c:v>
                </c:pt>
                <c:pt idx="68">
                  <c:v>7.5768463423480927</c:v>
                </c:pt>
                <c:pt idx="69">
                  <c:v>6.7534232572011792</c:v>
                </c:pt>
                <c:pt idx="70">
                  <c:v>8.3797841592532691</c:v>
                </c:pt>
              </c:numCache>
            </c:numRef>
          </c:val>
          <c:smooth val="0"/>
          <c:extLst xmlns:c16r2="http://schemas.microsoft.com/office/drawing/2015/06/chart">
            <c:ext xmlns:c16="http://schemas.microsoft.com/office/drawing/2014/chart" uri="{C3380CC4-5D6E-409C-BE32-E72D297353CC}">
              <c16:uniqueId val="{00000012-FE8B-4140-A4AD-90918E5C5368}"/>
            </c:ext>
          </c:extLst>
        </c:ser>
        <c:dLbls>
          <c:showLegendKey val="0"/>
          <c:showVal val="0"/>
          <c:showCatName val="0"/>
          <c:showSerName val="0"/>
          <c:showPercent val="0"/>
          <c:showBubbleSize val="0"/>
        </c:dLbls>
        <c:marker val="1"/>
        <c:smooth val="0"/>
        <c:axId val="462579264"/>
        <c:axId val="462572992"/>
      </c:lineChart>
      <c:catAx>
        <c:axId val="4625792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Distance</a:t>
                </a:r>
                <a:r>
                  <a:rPr lang="en-GB" sz="2000" baseline="0"/>
                  <a:t> along track (m)</a:t>
                </a:r>
                <a:endParaRPr lang="en-GB" sz="2000"/>
              </a:p>
            </c:rich>
          </c:tx>
          <c:layout>
            <c:manualLayout>
              <c:xMode val="edge"/>
              <c:yMode val="edge"/>
              <c:x val="0.4467462759270836"/>
              <c:y val="0.9057916146958534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in"/>
        <c:minorTickMark val="in"/>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462572992"/>
        <c:crosses val="autoZero"/>
        <c:auto val="1"/>
        <c:lblAlgn val="ctr"/>
        <c:lblOffset val="1"/>
        <c:tickLblSkip val="1"/>
        <c:noMultiLvlLbl val="0"/>
      </c:catAx>
      <c:valAx>
        <c:axId val="462572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Height</a:t>
                </a:r>
                <a:r>
                  <a:rPr lang="en-GB" sz="2000" baseline="0"/>
                  <a:t> up the hill (m)</a:t>
                </a:r>
                <a:endParaRPr lang="en-GB" sz="2000"/>
              </a:p>
            </c:rich>
          </c:tx>
          <c:layout>
            <c:manualLayout>
              <c:xMode val="edge"/>
              <c:yMode val="edge"/>
              <c:x val="4.4945089001162319E-3"/>
              <c:y val="0.3229593199070304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out"/>
        <c:minorTickMark val="none"/>
        <c:tickLblPos val="nextTo"/>
        <c:spPr>
          <a:noFill/>
          <a:ln>
            <a:noFill/>
          </a:ln>
          <a:effectLst/>
        </c:spPr>
        <c:txPr>
          <a:bodyPr rot="-60000000" spcFirstLastPara="1" vertOverflow="ellipsis" vert="horz" wrap="square" anchor="ctr" anchorCtr="0"/>
          <a:lstStyle/>
          <a:p>
            <a:pPr>
              <a:defRPr sz="1600" b="0" i="0" u="none" strike="noStrike" kern="1200" baseline="0">
                <a:solidFill>
                  <a:schemeClr val="tx1">
                    <a:lumMod val="65000"/>
                    <a:lumOff val="35000"/>
                  </a:schemeClr>
                </a:solidFill>
                <a:latin typeface="+mn-lt"/>
                <a:ea typeface="+mn-ea"/>
                <a:cs typeface="+mn-cs"/>
              </a:defRPr>
            </a:pPr>
            <a:endParaRPr lang="en-US"/>
          </a:p>
        </c:txPr>
        <c:crossAx val="462579264"/>
        <c:crossesAt val="1"/>
        <c:crossBetween val="between"/>
        <c:majorUnit val="2"/>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Total</a:t>
            </a:r>
            <a:r>
              <a:rPr lang="en-GB" u="sng" baseline="0"/>
              <a:t> resistive power and Max power available against distance </a:t>
            </a:r>
            <a:endParaRPr lang="en-GB" u="sng"/>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'CW2 Sheet '!$AB$1</c:f>
              <c:strCache>
                <c:ptCount val="1"/>
                <c:pt idx="0">
                  <c:v>Total Resistive Power (W)</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'CW2 Sheet '!$R$2:$R$72</c:f>
              <c:numCache>
                <c:formatCode>0.00</c:formatCode>
                <c:ptCount val="71"/>
                <c:pt idx="0">
                  <c:v>0</c:v>
                </c:pt>
                <c:pt idx="1">
                  <c:v>4.5</c:v>
                </c:pt>
                <c:pt idx="2">
                  <c:v>14.9</c:v>
                </c:pt>
                <c:pt idx="3">
                  <c:v>31.4</c:v>
                </c:pt>
                <c:pt idx="4">
                  <c:v>54.099999999999994</c:v>
                </c:pt>
                <c:pt idx="5">
                  <c:v>74.899999999999991</c:v>
                </c:pt>
                <c:pt idx="6">
                  <c:v>93.05</c:v>
                </c:pt>
                <c:pt idx="7">
                  <c:v>107.87</c:v>
                </c:pt>
                <c:pt idx="8">
                  <c:v>119.97</c:v>
                </c:pt>
                <c:pt idx="9">
                  <c:v>131.16999999999999</c:v>
                </c:pt>
                <c:pt idx="10">
                  <c:v>141.72999999999999</c:v>
                </c:pt>
                <c:pt idx="11">
                  <c:v>151.94999999999999</c:v>
                </c:pt>
                <c:pt idx="12">
                  <c:v>161.83999999999997</c:v>
                </c:pt>
                <c:pt idx="13">
                  <c:v>169.22999999999996</c:v>
                </c:pt>
                <c:pt idx="14">
                  <c:v>173.71999999999997</c:v>
                </c:pt>
                <c:pt idx="15">
                  <c:v>175.20999999999998</c:v>
                </c:pt>
                <c:pt idx="16">
                  <c:v>175.7</c:v>
                </c:pt>
                <c:pt idx="17">
                  <c:v>177.19</c:v>
                </c:pt>
                <c:pt idx="18">
                  <c:v>180.64</c:v>
                </c:pt>
                <c:pt idx="19">
                  <c:v>182.48999999999998</c:v>
                </c:pt>
                <c:pt idx="20">
                  <c:v>183.04</c:v>
                </c:pt>
                <c:pt idx="21">
                  <c:v>183.09</c:v>
                </c:pt>
                <c:pt idx="22">
                  <c:v>183.34100000000001</c:v>
                </c:pt>
                <c:pt idx="23">
                  <c:v>183.96200000000002</c:v>
                </c:pt>
                <c:pt idx="24">
                  <c:v>184.983</c:v>
                </c:pt>
                <c:pt idx="25">
                  <c:v>186.404</c:v>
                </c:pt>
                <c:pt idx="26">
                  <c:v>187.84799999999998</c:v>
                </c:pt>
                <c:pt idx="27">
                  <c:v>189.315</c:v>
                </c:pt>
                <c:pt idx="28">
                  <c:v>190.79400000000001</c:v>
                </c:pt>
                <c:pt idx="29">
                  <c:v>192.27900000000002</c:v>
                </c:pt>
                <c:pt idx="30">
                  <c:v>196.36400000000003</c:v>
                </c:pt>
                <c:pt idx="31">
                  <c:v>205.34900000000005</c:v>
                </c:pt>
                <c:pt idx="32">
                  <c:v>219.63400000000004</c:v>
                </c:pt>
                <c:pt idx="33">
                  <c:v>235.41900000000004</c:v>
                </c:pt>
                <c:pt idx="34">
                  <c:v>250.40400000000005</c:v>
                </c:pt>
                <c:pt idx="35">
                  <c:v>263.87900000000008</c:v>
                </c:pt>
                <c:pt idx="36">
                  <c:v>274.55400000000009</c:v>
                </c:pt>
                <c:pt idx="37">
                  <c:v>282.12900000000008</c:v>
                </c:pt>
                <c:pt idx="38">
                  <c:v>287.70400000000006</c:v>
                </c:pt>
                <c:pt idx="39">
                  <c:v>293.67900000000009</c:v>
                </c:pt>
                <c:pt idx="40">
                  <c:v>300.55400000000009</c:v>
                </c:pt>
                <c:pt idx="41">
                  <c:v>308.7290000000001</c:v>
                </c:pt>
                <c:pt idx="42">
                  <c:v>321.40400000000011</c:v>
                </c:pt>
                <c:pt idx="43">
                  <c:v>338.57900000000012</c:v>
                </c:pt>
                <c:pt idx="44">
                  <c:v>360.05400000000014</c:v>
                </c:pt>
                <c:pt idx="45">
                  <c:v>383.02900000000017</c:v>
                </c:pt>
                <c:pt idx="46">
                  <c:v>403.3040000000002</c:v>
                </c:pt>
                <c:pt idx="47">
                  <c:v>420.6790000000002</c:v>
                </c:pt>
                <c:pt idx="48">
                  <c:v>435.15400000000022</c:v>
                </c:pt>
                <c:pt idx="49">
                  <c:v>447.62900000000025</c:v>
                </c:pt>
                <c:pt idx="50">
                  <c:v>458.10400000000027</c:v>
                </c:pt>
                <c:pt idx="51">
                  <c:v>466.67900000000026</c:v>
                </c:pt>
                <c:pt idx="52">
                  <c:v>473.65400000000028</c:v>
                </c:pt>
                <c:pt idx="53">
                  <c:v>479.1290000000003</c:v>
                </c:pt>
                <c:pt idx="54">
                  <c:v>485.90400000000034</c:v>
                </c:pt>
                <c:pt idx="55">
                  <c:v>494.17900000000031</c:v>
                </c:pt>
                <c:pt idx="56">
                  <c:v>504.85400000000033</c:v>
                </c:pt>
                <c:pt idx="57">
                  <c:v>518.52900000000034</c:v>
                </c:pt>
                <c:pt idx="58">
                  <c:v>535.60400000000038</c:v>
                </c:pt>
                <c:pt idx="59">
                  <c:v>556.27900000000034</c:v>
                </c:pt>
                <c:pt idx="60">
                  <c:v>576.95400000000029</c:v>
                </c:pt>
                <c:pt idx="61">
                  <c:v>597.62900000000025</c:v>
                </c:pt>
                <c:pt idx="62">
                  <c:v>614.8040000000002</c:v>
                </c:pt>
                <c:pt idx="63">
                  <c:v>628.47900000000016</c:v>
                </c:pt>
                <c:pt idx="64">
                  <c:v>638.85400000000016</c:v>
                </c:pt>
                <c:pt idx="65">
                  <c:v>650.22900000000016</c:v>
                </c:pt>
                <c:pt idx="66">
                  <c:v>662.60400000000016</c:v>
                </c:pt>
                <c:pt idx="67">
                  <c:v>675.97900000000016</c:v>
                </c:pt>
                <c:pt idx="68">
                  <c:v>690.35400000000016</c:v>
                </c:pt>
                <c:pt idx="69">
                  <c:v>705.72900000000016</c:v>
                </c:pt>
                <c:pt idx="70">
                  <c:v>722.10400000000016</c:v>
                </c:pt>
              </c:numCache>
            </c:numRef>
          </c:xVal>
          <c:yVal>
            <c:numRef>
              <c:f>'CW2 Sheet '!$AB$2:$AB$72</c:f>
              <c:numCache>
                <c:formatCode>General</c:formatCode>
                <c:ptCount val="71"/>
                <c:pt idx="0">
                  <c:v>0</c:v>
                </c:pt>
                <c:pt idx="1">
                  <c:v>17720.283674776885</c:v>
                </c:pt>
                <c:pt idx="2">
                  <c:v>51828.218524129697</c:v>
                </c:pt>
                <c:pt idx="3">
                  <c:v>85686.555596339444</c:v>
                </c:pt>
                <c:pt idx="4">
                  <c:v>139060.97827298066</c:v>
                </c:pt>
                <c:pt idx="5">
                  <c:v>4674.3001022293374</c:v>
                </c:pt>
                <c:pt idx="6">
                  <c:v>-6443.2739382467507</c:v>
                </c:pt>
                <c:pt idx="7">
                  <c:v>-13134.514532226256</c:v>
                </c:pt>
                <c:pt idx="8">
                  <c:v>-10100.270240962003</c:v>
                </c:pt>
                <c:pt idx="9">
                  <c:v>5347.525802914909</c:v>
                </c:pt>
                <c:pt idx="10">
                  <c:v>6981.2529900257286</c:v>
                </c:pt>
                <c:pt idx="11">
                  <c:v>8954.1597002070394</c:v>
                </c:pt>
                <c:pt idx="12">
                  <c:v>-1258.6087049481266</c:v>
                </c:pt>
                <c:pt idx="13">
                  <c:v>-12678.050802783055</c:v>
                </c:pt>
                <c:pt idx="14">
                  <c:v>-9058.9205703159732</c:v>
                </c:pt>
                <c:pt idx="15">
                  <c:v>-3123.5318414838871</c:v>
                </c:pt>
                <c:pt idx="16">
                  <c:v>-325.3375424998581</c:v>
                </c:pt>
                <c:pt idx="17">
                  <c:v>1172.236604944685</c:v>
                </c:pt>
                <c:pt idx="18">
                  <c:v>3444.5273050027504</c:v>
                </c:pt>
                <c:pt idx="19">
                  <c:v>-2933.2528114532502</c:v>
                </c:pt>
                <c:pt idx="20">
                  <c:v>-753.02125866275003</c:v>
                </c:pt>
                <c:pt idx="21">
                  <c:v>-39.461706430250032</c:v>
                </c:pt>
                <c:pt idx="22">
                  <c:v>-70.52799816485792</c:v>
                </c:pt>
                <c:pt idx="23">
                  <c:v>-98.335711263223871</c:v>
                </c:pt>
                <c:pt idx="24">
                  <c:v>-139.2354534757703</c:v>
                </c:pt>
                <c:pt idx="25">
                  <c:v>-1305.0161005790367</c:v>
                </c:pt>
                <c:pt idx="26">
                  <c:v>-1720.7869440358652</c:v>
                </c:pt>
                <c:pt idx="27">
                  <c:v>-1748.1613649621493</c:v>
                </c:pt>
                <c:pt idx="28">
                  <c:v>-1774.2380538611442</c:v>
                </c:pt>
                <c:pt idx="29">
                  <c:v>852.53649349109162</c:v>
                </c:pt>
                <c:pt idx="30">
                  <c:v>10048.268562676782</c:v>
                </c:pt>
                <c:pt idx="31">
                  <c:v>37284.328204403471</c:v>
                </c:pt>
                <c:pt idx="32">
                  <c:v>64034.04345864182</c:v>
                </c:pt>
                <c:pt idx="33">
                  <c:v>27518.446387430289</c:v>
                </c:pt>
                <c:pt idx="34">
                  <c:v>1007.7229282233668</c:v>
                </c:pt>
                <c:pt idx="35">
                  <c:v>-18732.47534113652</c:v>
                </c:pt>
                <c:pt idx="36">
                  <c:v>-25075.411009261668</c:v>
                </c:pt>
                <c:pt idx="37">
                  <c:v>-19590.497623403589</c:v>
                </c:pt>
                <c:pt idx="38">
                  <c:v>-9926.5918922752207</c:v>
                </c:pt>
                <c:pt idx="39">
                  <c:v>-232.69196276871921</c:v>
                </c:pt>
                <c:pt idx="40">
                  <c:v>2252.1593305664069</c:v>
                </c:pt>
                <c:pt idx="41">
                  <c:v>12546.780302983036</c:v>
                </c:pt>
                <c:pt idx="42">
                  <c:v>49273.78115731867</c:v>
                </c:pt>
                <c:pt idx="43">
                  <c:v>67571.5656886293</c:v>
                </c:pt>
                <c:pt idx="44">
                  <c:v>102211.54801004915</c:v>
                </c:pt>
                <c:pt idx="45">
                  <c:v>55365.772378392416</c:v>
                </c:pt>
                <c:pt idx="46">
                  <c:v>-15640.187664809264</c:v>
                </c:pt>
                <c:pt idx="47">
                  <c:v>-5044.5464308554701</c:v>
                </c:pt>
                <c:pt idx="48">
                  <c:v>-8790.3386212706591</c:v>
                </c:pt>
                <c:pt idx="49">
                  <c:v>329.78216720455481</c:v>
                </c:pt>
                <c:pt idx="50">
                  <c:v>109.32372087976664</c:v>
                </c:pt>
                <c:pt idx="51">
                  <c:v>602.99893281071877</c:v>
                </c:pt>
                <c:pt idx="52">
                  <c:v>1947.0604541988887</c:v>
                </c:pt>
                <c:pt idx="53">
                  <c:v>-4133.8720984218617</c:v>
                </c:pt>
                <c:pt idx="54">
                  <c:v>8675.4258059730018</c:v>
                </c:pt>
                <c:pt idx="55">
                  <c:v>11861.172753433983</c:v>
                </c:pt>
                <c:pt idx="56">
                  <c:v>17782.261224145121</c:v>
                </c:pt>
                <c:pt idx="57">
                  <c:v>29076.438072430698</c:v>
                </c:pt>
                <c:pt idx="58">
                  <c:v>41879.673136818354</c:v>
                </c:pt>
                <c:pt idx="59">
                  <c:v>49332.662220224855</c:v>
                </c:pt>
                <c:pt idx="60">
                  <c:v>-17511.448752596825</c:v>
                </c:pt>
                <c:pt idx="61">
                  <c:v>-5747.7872525968187</c:v>
                </c:pt>
                <c:pt idx="62">
                  <c:v>-49149.385939108157</c:v>
                </c:pt>
                <c:pt idx="63">
                  <c:v>-37999.088527523068</c:v>
                </c:pt>
                <c:pt idx="64">
                  <c:v>-27611.921995452529</c:v>
                </c:pt>
                <c:pt idx="65">
                  <c:v>10899.259602751037</c:v>
                </c:pt>
                <c:pt idx="66">
                  <c:v>11959.879645812254</c:v>
                </c:pt>
                <c:pt idx="67">
                  <c:v>13046.380120373471</c:v>
                </c:pt>
                <c:pt idx="68">
                  <c:v>14160.852374434686</c:v>
                </c:pt>
                <c:pt idx="69">
                  <c:v>15305.387755995906</c:v>
                </c:pt>
                <c:pt idx="70">
                  <c:v>34286.457245108264</c:v>
                </c:pt>
              </c:numCache>
            </c:numRef>
          </c:yVal>
          <c:smooth val="0"/>
          <c:extLst xmlns:c16r2="http://schemas.microsoft.com/office/drawing/2015/06/chart">
            <c:ext xmlns:c16="http://schemas.microsoft.com/office/drawing/2014/chart" uri="{C3380CC4-5D6E-409C-BE32-E72D297353CC}">
              <c16:uniqueId val="{00000000-EF6B-4811-AF9C-045674F92E49}"/>
            </c:ext>
          </c:extLst>
        </c:ser>
        <c:ser>
          <c:idx val="1"/>
          <c:order val="1"/>
          <c:tx>
            <c:strRef>
              <c:f>'CW1 sheet'!$D$18</c:f>
              <c:strCache>
                <c:ptCount val="1"/>
                <c:pt idx="0">
                  <c:v>Max Kw output </c:v>
                </c:pt>
              </c:strCache>
            </c:strRef>
          </c:tx>
          <c:spPr>
            <a:ln w="19050" cap="rnd">
              <a:solidFill>
                <a:srgbClr val="002060"/>
              </a:solidFill>
              <a:round/>
            </a:ln>
            <a:effectLst/>
          </c:spPr>
          <c:marker>
            <c:symbol val="circle"/>
            <c:size val="5"/>
            <c:spPr>
              <a:noFill/>
              <a:ln w="9525">
                <a:noFill/>
              </a:ln>
              <a:effectLst/>
            </c:spPr>
          </c:marker>
          <c:xVal>
            <c:numRef>
              <c:f>'CW1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xVal>
          <c:yVal>
            <c:numRef>
              <c:f>'CW1 sheet'!$AE$2:$AE$28</c:f>
              <c:numCache>
                <c:formatCode>0.00</c:formatCode>
                <c:ptCount val="27"/>
                <c:pt idx="0">
                  <c:v>147200</c:v>
                </c:pt>
                <c:pt idx="1">
                  <c:v>147200</c:v>
                </c:pt>
                <c:pt idx="2">
                  <c:v>147200</c:v>
                </c:pt>
                <c:pt idx="3">
                  <c:v>147200</c:v>
                </c:pt>
                <c:pt idx="4">
                  <c:v>147200</c:v>
                </c:pt>
                <c:pt idx="5">
                  <c:v>147200</c:v>
                </c:pt>
                <c:pt idx="6">
                  <c:v>147200</c:v>
                </c:pt>
                <c:pt idx="7">
                  <c:v>147200</c:v>
                </c:pt>
                <c:pt idx="8">
                  <c:v>147200</c:v>
                </c:pt>
                <c:pt idx="9">
                  <c:v>147200</c:v>
                </c:pt>
                <c:pt idx="10">
                  <c:v>147200</c:v>
                </c:pt>
                <c:pt idx="11">
                  <c:v>147200</c:v>
                </c:pt>
                <c:pt idx="12">
                  <c:v>147200</c:v>
                </c:pt>
                <c:pt idx="13">
                  <c:v>147200</c:v>
                </c:pt>
                <c:pt idx="14">
                  <c:v>147200</c:v>
                </c:pt>
                <c:pt idx="15">
                  <c:v>147200</c:v>
                </c:pt>
                <c:pt idx="16">
                  <c:v>147200</c:v>
                </c:pt>
                <c:pt idx="17">
                  <c:v>147200</c:v>
                </c:pt>
                <c:pt idx="18">
                  <c:v>147200</c:v>
                </c:pt>
                <c:pt idx="19">
                  <c:v>147200</c:v>
                </c:pt>
                <c:pt idx="20">
                  <c:v>147200</c:v>
                </c:pt>
                <c:pt idx="21">
                  <c:v>147200</c:v>
                </c:pt>
                <c:pt idx="22">
                  <c:v>147200</c:v>
                </c:pt>
                <c:pt idx="23">
                  <c:v>147200</c:v>
                </c:pt>
                <c:pt idx="24">
                  <c:v>147200</c:v>
                </c:pt>
                <c:pt idx="25">
                  <c:v>147200</c:v>
                </c:pt>
                <c:pt idx="26">
                  <c:v>147200</c:v>
                </c:pt>
              </c:numCache>
            </c:numRef>
          </c:yVal>
          <c:smooth val="0"/>
          <c:extLst xmlns:c16r2="http://schemas.microsoft.com/office/drawing/2015/06/chart">
            <c:ext xmlns:c16="http://schemas.microsoft.com/office/drawing/2014/chart" uri="{C3380CC4-5D6E-409C-BE32-E72D297353CC}">
              <c16:uniqueId val="{00000001-EF6B-4811-AF9C-045674F92E49}"/>
            </c:ext>
          </c:extLst>
        </c:ser>
        <c:dLbls>
          <c:showLegendKey val="0"/>
          <c:showVal val="0"/>
          <c:showCatName val="0"/>
          <c:showSerName val="0"/>
          <c:showPercent val="0"/>
          <c:showBubbleSize val="0"/>
        </c:dLbls>
        <c:axId val="462580048"/>
        <c:axId val="462573384"/>
      </c:scatterChart>
      <c:valAx>
        <c:axId val="462580048"/>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3384"/>
        <c:crosses val="autoZero"/>
        <c:crossBetween val="midCat"/>
      </c:valAx>
      <c:valAx>
        <c:axId val="4625733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80048"/>
        <c:crossesAt val="0"/>
        <c:crossBetween val="midCat"/>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accent1">
          <a:lumMod val="20000"/>
          <a:lumOff val="80000"/>
        </a:schemeClr>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requriment &amp; Average power for drive cycle </a:t>
            </a:r>
            <a:endParaRPr lang="en-GB"/>
          </a:p>
        </c:rich>
      </c:tx>
      <c:layout>
        <c:manualLayout>
          <c:xMode val="edge"/>
          <c:yMode val="edge"/>
          <c:x val="0.35500374615453156"/>
          <c:y val="2.059620253371181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'CW2 Sheet '!$AB$1</c:f>
              <c:strCache>
                <c:ptCount val="1"/>
                <c:pt idx="0">
                  <c:v>Total Resistive Power (W)</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'CW2 Sheet '!$AB$2:$AB$72</c:f>
              <c:numCache>
                <c:formatCode>General</c:formatCode>
                <c:ptCount val="71"/>
                <c:pt idx="0">
                  <c:v>0</c:v>
                </c:pt>
                <c:pt idx="1">
                  <c:v>17720.283674776885</c:v>
                </c:pt>
                <c:pt idx="2">
                  <c:v>51828.218524129697</c:v>
                </c:pt>
                <c:pt idx="3">
                  <c:v>85686.555596339444</c:v>
                </c:pt>
                <c:pt idx="4">
                  <c:v>139060.97827298066</c:v>
                </c:pt>
                <c:pt idx="5">
                  <c:v>4674.3001022293374</c:v>
                </c:pt>
                <c:pt idx="6">
                  <c:v>-6443.2739382467507</c:v>
                </c:pt>
                <c:pt idx="7">
                  <c:v>-13134.514532226256</c:v>
                </c:pt>
                <c:pt idx="8">
                  <c:v>-10100.270240962003</c:v>
                </c:pt>
                <c:pt idx="9">
                  <c:v>5347.525802914909</c:v>
                </c:pt>
                <c:pt idx="10">
                  <c:v>6981.2529900257286</c:v>
                </c:pt>
                <c:pt idx="11">
                  <c:v>8954.1597002070394</c:v>
                </c:pt>
                <c:pt idx="12">
                  <c:v>-1258.6087049481266</c:v>
                </c:pt>
                <c:pt idx="13">
                  <c:v>-12678.050802783055</c:v>
                </c:pt>
                <c:pt idx="14">
                  <c:v>-9058.9205703159732</c:v>
                </c:pt>
                <c:pt idx="15">
                  <c:v>-3123.5318414838871</c:v>
                </c:pt>
                <c:pt idx="16">
                  <c:v>-325.3375424998581</c:v>
                </c:pt>
                <c:pt idx="17">
                  <c:v>1172.236604944685</c:v>
                </c:pt>
                <c:pt idx="18">
                  <c:v>3444.5273050027504</c:v>
                </c:pt>
                <c:pt idx="19">
                  <c:v>-2933.2528114532502</c:v>
                </c:pt>
                <c:pt idx="20">
                  <c:v>-753.02125866275003</c:v>
                </c:pt>
                <c:pt idx="21">
                  <c:v>-39.461706430250032</c:v>
                </c:pt>
                <c:pt idx="22">
                  <c:v>-70.52799816485792</c:v>
                </c:pt>
                <c:pt idx="23">
                  <c:v>-98.335711263223871</c:v>
                </c:pt>
                <c:pt idx="24">
                  <c:v>-139.2354534757703</c:v>
                </c:pt>
                <c:pt idx="25">
                  <c:v>-1305.0161005790367</c:v>
                </c:pt>
                <c:pt idx="26">
                  <c:v>-1720.7869440358652</c:v>
                </c:pt>
                <c:pt idx="27">
                  <c:v>-1748.1613649621493</c:v>
                </c:pt>
                <c:pt idx="28">
                  <c:v>-1774.2380538611442</c:v>
                </c:pt>
                <c:pt idx="29">
                  <c:v>852.53649349109162</c:v>
                </c:pt>
                <c:pt idx="30">
                  <c:v>10048.268562676782</c:v>
                </c:pt>
                <c:pt idx="31">
                  <c:v>37284.328204403471</c:v>
                </c:pt>
                <c:pt idx="32">
                  <c:v>64034.04345864182</c:v>
                </c:pt>
                <c:pt idx="33">
                  <c:v>27518.446387430289</c:v>
                </c:pt>
                <c:pt idx="34">
                  <c:v>1007.7229282233668</c:v>
                </c:pt>
                <c:pt idx="35">
                  <c:v>-18732.47534113652</c:v>
                </c:pt>
                <c:pt idx="36">
                  <c:v>-25075.411009261668</c:v>
                </c:pt>
                <c:pt idx="37">
                  <c:v>-19590.497623403589</c:v>
                </c:pt>
                <c:pt idx="38">
                  <c:v>-9926.5918922752207</c:v>
                </c:pt>
                <c:pt idx="39">
                  <c:v>-232.69196276871921</c:v>
                </c:pt>
                <c:pt idx="40">
                  <c:v>2252.1593305664069</c:v>
                </c:pt>
                <c:pt idx="41">
                  <c:v>12546.780302983036</c:v>
                </c:pt>
                <c:pt idx="42">
                  <c:v>49273.78115731867</c:v>
                </c:pt>
                <c:pt idx="43">
                  <c:v>67571.5656886293</c:v>
                </c:pt>
                <c:pt idx="44">
                  <c:v>102211.54801004915</c:v>
                </c:pt>
                <c:pt idx="45">
                  <c:v>55365.772378392416</c:v>
                </c:pt>
                <c:pt idx="46">
                  <c:v>-15640.187664809264</c:v>
                </c:pt>
                <c:pt idx="47">
                  <c:v>-5044.5464308554701</c:v>
                </c:pt>
                <c:pt idx="48">
                  <c:v>-8790.3386212706591</c:v>
                </c:pt>
                <c:pt idx="49">
                  <c:v>329.78216720455481</c:v>
                </c:pt>
                <c:pt idx="50">
                  <c:v>109.32372087976664</c:v>
                </c:pt>
                <c:pt idx="51">
                  <c:v>602.99893281071877</c:v>
                </c:pt>
                <c:pt idx="52">
                  <c:v>1947.0604541988887</c:v>
                </c:pt>
                <c:pt idx="53">
                  <c:v>-4133.8720984218617</c:v>
                </c:pt>
                <c:pt idx="54">
                  <c:v>8675.4258059730018</c:v>
                </c:pt>
                <c:pt idx="55">
                  <c:v>11861.172753433983</c:v>
                </c:pt>
                <c:pt idx="56">
                  <c:v>17782.261224145121</c:v>
                </c:pt>
                <c:pt idx="57">
                  <c:v>29076.438072430698</c:v>
                </c:pt>
                <c:pt idx="58">
                  <c:v>41879.673136818354</c:v>
                </c:pt>
                <c:pt idx="59">
                  <c:v>49332.662220224855</c:v>
                </c:pt>
                <c:pt idx="60">
                  <c:v>-17511.448752596825</c:v>
                </c:pt>
                <c:pt idx="61">
                  <c:v>-5747.7872525968187</c:v>
                </c:pt>
                <c:pt idx="62">
                  <c:v>-49149.385939108157</c:v>
                </c:pt>
                <c:pt idx="63">
                  <c:v>-37999.088527523068</c:v>
                </c:pt>
                <c:pt idx="64">
                  <c:v>-27611.921995452529</c:v>
                </c:pt>
                <c:pt idx="65">
                  <c:v>10899.259602751037</c:v>
                </c:pt>
                <c:pt idx="66">
                  <c:v>11959.879645812254</c:v>
                </c:pt>
                <c:pt idx="67">
                  <c:v>13046.380120373471</c:v>
                </c:pt>
                <c:pt idx="68">
                  <c:v>14160.852374434686</c:v>
                </c:pt>
                <c:pt idx="69">
                  <c:v>15305.387755995906</c:v>
                </c:pt>
                <c:pt idx="70">
                  <c:v>34286.457245108264</c:v>
                </c:pt>
              </c:numCache>
            </c:numRef>
          </c:yVal>
          <c:smooth val="0"/>
        </c:ser>
        <c:ser>
          <c:idx val="1"/>
          <c:order val="1"/>
          <c:tx>
            <c:strRef>
              <c:f>'CW2 Sheet '!$AC$75</c:f>
              <c:strCache>
                <c:ptCount val="1"/>
                <c:pt idx="0">
                  <c:v>Average Required Power (W)</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'CW2 Sheet '!$AE$76:$AE$77</c:f>
              <c:numCache>
                <c:formatCode>General</c:formatCode>
                <c:ptCount val="2"/>
                <c:pt idx="0">
                  <c:v>1</c:v>
                </c:pt>
                <c:pt idx="1">
                  <c:v>71</c:v>
                </c:pt>
              </c:numCache>
            </c:numRef>
          </c:xVal>
          <c:yVal>
            <c:numRef>
              <c:f>'CW2 Sheet '!$AC$76:$AC$77</c:f>
              <c:numCache>
                <c:formatCode>General</c:formatCode>
                <c:ptCount val="2"/>
                <c:pt idx="0">
                  <c:v>30790.666869968245</c:v>
                </c:pt>
                <c:pt idx="1">
                  <c:v>30790.666869968245</c:v>
                </c:pt>
              </c:numCache>
            </c:numRef>
          </c:yVal>
          <c:smooth val="0"/>
        </c:ser>
        <c:ser>
          <c:idx val="2"/>
          <c:order val="2"/>
          <c:tx>
            <c:strRef>
              <c:f>'CW2 Sheet '!$AD$75</c:f>
              <c:strCache>
                <c:ptCount val="1"/>
                <c:pt idx="0">
                  <c:v>Average Power (W)</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'CW2 Sheet '!$AE$76:$AE$77</c:f>
              <c:numCache>
                <c:formatCode>General</c:formatCode>
                <c:ptCount val="2"/>
                <c:pt idx="0">
                  <c:v>1</c:v>
                </c:pt>
                <c:pt idx="1">
                  <c:v>71</c:v>
                </c:pt>
              </c:numCache>
            </c:numRef>
          </c:xVal>
          <c:yVal>
            <c:numRef>
              <c:f>'CW2 Sheet '!$AD$76:$AD$77</c:f>
              <c:numCache>
                <c:formatCode>General</c:formatCode>
                <c:ptCount val="2"/>
                <c:pt idx="0">
                  <c:v>9918.32698621292</c:v>
                </c:pt>
                <c:pt idx="1">
                  <c:v>9918.32698621292</c:v>
                </c:pt>
              </c:numCache>
            </c:numRef>
          </c:yVal>
          <c:smooth val="0"/>
        </c:ser>
        <c:ser>
          <c:idx val="3"/>
          <c:order val="3"/>
          <c:spPr>
            <a:ln w="19050" cap="rnd">
              <a:solidFill>
                <a:schemeClr val="accent4"/>
              </a:solidFill>
              <a:round/>
            </a:ln>
            <a:effectLst/>
          </c:spPr>
          <c:marker>
            <c:symbol val="circle"/>
            <c:size val="5"/>
            <c:spPr>
              <a:solidFill>
                <a:schemeClr val="accent4"/>
              </a:solidFill>
              <a:ln w="9525">
                <a:solidFill>
                  <a:schemeClr val="accent4"/>
                </a:solidFill>
              </a:ln>
              <a:effectLst/>
            </c:spPr>
          </c:marker>
          <c:yVal>
            <c:numRef>
              <c:f>'CW2 Sheet '!$AF$2:$AF$72</c:f>
              <c:numCache>
                <c:formatCode>General</c:formatCode>
                <c:ptCount val="71"/>
              </c:numCache>
            </c:numRef>
          </c:yVal>
          <c:smooth val="0"/>
        </c:ser>
        <c:dLbls>
          <c:showLegendKey val="0"/>
          <c:showVal val="0"/>
          <c:showCatName val="0"/>
          <c:showSerName val="0"/>
          <c:showPercent val="0"/>
          <c:showBubbleSize val="0"/>
        </c:dLbls>
        <c:axId val="462576128"/>
        <c:axId val="462574952"/>
      </c:scatterChart>
      <c:valAx>
        <c:axId val="462576128"/>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4952"/>
        <c:crosses val="autoZero"/>
        <c:crossBetween val="midCat"/>
      </c:valAx>
      <c:valAx>
        <c:axId val="462574952"/>
        <c:scaling>
          <c:orientation val="minMax"/>
          <c:max val="160000"/>
          <c:min val="-7500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6128"/>
        <c:crosses val="autoZero"/>
        <c:crossBetween val="midCat"/>
        <c:majorUnit val="25000"/>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'CW2 Sheet '!$AB$85:$AB$155</c:f>
              <c:numCache>
                <c:formatCode>General</c:formatCode>
                <c:ptCount val="71"/>
                <c:pt idx="0">
                  <c:v>0</c:v>
                </c:pt>
                <c:pt idx="1">
                  <c:v>17720.283674776885</c:v>
                </c:pt>
                <c:pt idx="2">
                  <c:v>51828.218524129697</c:v>
                </c:pt>
                <c:pt idx="3">
                  <c:v>85686.555596339444</c:v>
                </c:pt>
                <c:pt idx="4">
                  <c:v>139060.97827298066</c:v>
                </c:pt>
                <c:pt idx="5">
                  <c:v>4674.3001022293374</c:v>
                </c:pt>
                <c:pt idx="6">
                  <c:v>-6443.2739382467507</c:v>
                </c:pt>
                <c:pt idx="7">
                  <c:v>-13134.514532226256</c:v>
                </c:pt>
                <c:pt idx="8">
                  <c:v>-10100.270240962003</c:v>
                </c:pt>
                <c:pt idx="9">
                  <c:v>5347.525802914909</c:v>
                </c:pt>
                <c:pt idx="10">
                  <c:v>6981.2529900257286</c:v>
                </c:pt>
                <c:pt idx="11">
                  <c:v>8954.1597002070394</c:v>
                </c:pt>
                <c:pt idx="12">
                  <c:v>-1258.6087049481266</c:v>
                </c:pt>
                <c:pt idx="13">
                  <c:v>-12678.050802783055</c:v>
                </c:pt>
                <c:pt idx="14">
                  <c:v>-9058.9205703159732</c:v>
                </c:pt>
                <c:pt idx="15">
                  <c:v>-3123.5318414838871</c:v>
                </c:pt>
                <c:pt idx="16">
                  <c:v>-325.3375424998581</c:v>
                </c:pt>
                <c:pt idx="17">
                  <c:v>1172.236604944685</c:v>
                </c:pt>
                <c:pt idx="18">
                  <c:v>3444.5273050027504</c:v>
                </c:pt>
                <c:pt idx="19">
                  <c:v>-2933.2528114532502</c:v>
                </c:pt>
                <c:pt idx="20">
                  <c:v>-753.02125866275003</c:v>
                </c:pt>
                <c:pt idx="21">
                  <c:v>-39.461706430250032</c:v>
                </c:pt>
                <c:pt idx="22">
                  <c:v>-70.52799816485792</c:v>
                </c:pt>
                <c:pt idx="23">
                  <c:v>-98.335711263223871</c:v>
                </c:pt>
                <c:pt idx="24">
                  <c:v>-139.2354534757703</c:v>
                </c:pt>
                <c:pt idx="25">
                  <c:v>-1305.0161005790367</c:v>
                </c:pt>
                <c:pt idx="26">
                  <c:v>-1720.7869440358652</c:v>
                </c:pt>
                <c:pt idx="27">
                  <c:v>-1748.1613649621493</c:v>
                </c:pt>
                <c:pt idx="28">
                  <c:v>-1774.2380538611442</c:v>
                </c:pt>
                <c:pt idx="29">
                  <c:v>852.53649349109162</c:v>
                </c:pt>
                <c:pt idx="30">
                  <c:v>10048.268562676782</c:v>
                </c:pt>
                <c:pt idx="31">
                  <c:v>37284.328204403471</c:v>
                </c:pt>
                <c:pt idx="32">
                  <c:v>64034.04345864182</c:v>
                </c:pt>
                <c:pt idx="33">
                  <c:v>27518.446387430289</c:v>
                </c:pt>
                <c:pt idx="34">
                  <c:v>1007.7229282233668</c:v>
                </c:pt>
                <c:pt idx="35">
                  <c:v>-18732.47534113652</c:v>
                </c:pt>
                <c:pt idx="36">
                  <c:v>-25075.411009261668</c:v>
                </c:pt>
                <c:pt idx="37">
                  <c:v>-19590.497623403589</c:v>
                </c:pt>
                <c:pt idx="38">
                  <c:v>-9926.5918922752207</c:v>
                </c:pt>
                <c:pt idx="39">
                  <c:v>-232.69196276871921</c:v>
                </c:pt>
                <c:pt idx="40">
                  <c:v>2252.1593305664069</c:v>
                </c:pt>
                <c:pt idx="41">
                  <c:v>12546.780302983036</c:v>
                </c:pt>
                <c:pt idx="42">
                  <c:v>49273.78115731867</c:v>
                </c:pt>
                <c:pt idx="43">
                  <c:v>67571.5656886293</c:v>
                </c:pt>
                <c:pt idx="44">
                  <c:v>102211.54801004915</c:v>
                </c:pt>
                <c:pt idx="45">
                  <c:v>55365.772378392416</c:v>
                </c:pt>
                <c:pt idx="46">
                  <c:v>-15640.187664809264</c:v>
                </c:pt>
                <c:pt idx="47">
                  <c:v>-5044.5464308554701</c:v>
                </c:pt>
                <c:pt idx="48">
                  <c:v>-8790.3386212706591</c:v>
                </c:pt>
                <c:pt idx="49">
                  <c:v>329.78216720455481</c:v>
                </c:pt>
                <c:pt idx="50">
                  <c:v>109.32372087976664</c:v>
                </c:pt>
                <c:pt idx="51">
                  <c:v>602.99893281071877</c:v>
                </c:pt>
                <c:pt idx="52">
                  <c:v>1947.0604541988887</c:v>
                </c:pt>
                <c:pt idx="53">
                  <c:v>-4133.8720984218617</c:v>
                </c:pt>
                <c:pt idx="54">
                  <c:v>8675.4258059730018</c:v>
                </c:pt>
                <c:pt idx="55">
                  <c:v>11861.172753433983</c:v>
                </c:pt>
                <c:pt idx="56">
                  <c:v>17782.261224145121</c:v>
                </c:pt>
                <c:pt idx="57">
                  <c:v>29076.438072430698</c:v>
                </c:pt>
                <c:pt idx="58">
                  <c:v>41879.673136818354</c:v>
                </c:pt>
                <c:pt idx="59">
                  <c:v>49332.662220224855</c:v>
                </c:pt>
                <c:pt idx="60">
                  <c:v>-17511.448752596825</c:v>
                </c:pt>
                <c:pt idx="61">
                  <c:v>-5747.7872525968187</c:v>
                </c:pt>
                <c:pt idx="62">
                  <c:v>-49149.385939108157</c:v>
                </c:pt>
                <c:pt idx="63">
                  <c:v>-37999.088527523068</c:v>
                </c:pt>
                <c:pt idx="64">
                  <c:v>-27611.921995452529</c:v>
                </c:pt>
                <c:pt idx="65">
                  <c:v>10899.259602751037</c:v>
                </c:pt>
                <c:pt idx="66">
                  <c:v>11959.879645812254</c:v>
                </c:pt>
                <c:pt idx="67">
                  <c:v>13046.380120373471</c:v>
                </c:pt>
                <c:pt idx="68">
                  <c:v>14160.852374434686</c:v>
                </c:pt>
                <c:pt idx="69">
                  <c:v>15305.387755995906</c:v>
                </c:pt>
                <c:pt idx="70">
                  <c:v>34286.457245108264</c:v>
                </c:pt>
              </c:numCache>
            </c:numRef>
          </c:yVal>
          <c:smooth val="0"/>
        </c:ser>
        <c:ser>
          <c:idx val="1"/>
          <c:order val="1"/>
          <c:tx>
            <c:strRef>
              <c:f>'CW2 Sheet '!$AF$84</c:f>
              <c:strCache>
                <c:ptCount val="1"/>
                <c:pt idx="0">
                  <c:v>P m/g (EQ16.28, pg 489)</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'CW2 Sheet '!$AK$85:$AK$155</c:f>
              <c:numCache>
                <c:formatCode>General</c:formatCode>
                <c:ptCount val="71"/>
                <c:pt idx="0">
                  <c:v>0</c:v>
                </c:pt>
                <c:pt idx="1">
                  <c:v>34000</c:v>
                </c:pt>
                <c:pt idx="2">
                  <c:v>34000</c:v>
                </c:pt>
                <c:pt idx="3">
                  <c:v>34000</c:v>
                </c:pt>
                <c:pt idx="4">
                  <c:v>34000</c:v>
                </c:pt>
                <c:pt idx="5">
                  <c:v>0</c:v>
                </c:pt>
                <c:pt idx="6">
                  <c:v>0</c:v>
                </c:pt>
                <c:pt idx="7">
                  <c:v>0</c:v>
                </c:pt>
                <c:pt idx="8">
                  <c:v>0</c:v>
                </c:pt>
                <c:pt idx="9">
                  <c:v>0</c:v>
                </c:pt>
                <c:pt idx="10">
                  <c:v>0</c:v>
                </c:pt>
                <c:pt idx="11">
                  <c:v>34000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34000</c:v>
                </c:pt>
                <c:pt idx="31">
                  <c:v>34000</c:v>
                </c:pt>
                <c:pt idx="32">
                  <c:v>34000</c:v>
                </c:pt>
                <c:pt idx="33">
                  <c:v>34000</c:v>
                </c:pt>
                <c:pt idx="34">
                  <c:v>0</c:v>
                </c:pt>
                <c:pt idx="35">
                  <c:v>0</c:v>
                </c:pt>
                <c:pt idx="36">
                  <c:v>0</c:v>
                </c:pt>
                <c:pt idx="37">
                  <c:v>0</c:v>
                </c:pt>
                <c:pt idx="38">
                  <c:v>0</c:v>
                </c:pt>
                <c:pt idx="39">
                  <c:v>0</c:v>
                </c:pt>
                <c:pt idx="40">
                  <c:v>34000</c:v>
                </c:pt>
                <c:pt idx="41">
                  <c:v>34000</c:v>
                </c:pt>
                <c:pt idx="42">
                  <c:v>34000</c:v>
                </c:pt>
                <c:pt idx="43">
                  <c:v>34000</c:v>
                </c:pt>
                <c:pt idx="44">
                  <c:v>34000</c:v>
                </c:pt>
                <c:pt idx="45">
                  <c:v>34000</c:v>
                </c:pt>
                <c:pt idx="46">
                  <c:v>0</c:v>
                </c:pt>
                <c:pt idx="47">
                  <c:v>0</c:v>
                </c:pt>
                <c:pt idx="48">
                  <c:v>0</c:v>
                </c:pt>
                <c:pt idx="49">
                  <c:v>0</c:v>
                </c:pt>
                <c:pt idx="50">
                  <c:v>0</c:v>
                </c:pt>
                <c:pt idx="51">
                  <c:v>0</c:v>
                </c:pt>
                <c:pt idx="52">
                  <c:v>0</c:v>
                </c:pt>
                <c:pt idx="53">
                  <c:v>0</c:v>
                </c:pt>
                <c:pt idx="54">
                  <c:v>34000</c:v>
                </c:pt>
                <c:pt idx="55">
                  <c:v>34000</c:v>
                </c:pt>
                <c:pt idx="56">
                  <c:v>34000</c:v>
                </c:pt>
                <c:pt idx="57">
                  <c:v>34000</c:v>
                </c:pt>
                <c:pt idx="58">
                  <c:v>34000</c:v>
                </c:pt>
                <c:pt idx="59">
                  <c:v>34000</c:v>
                </c:pt>
                <c:pt idx="60">
                  <c:v>0</c:v>
                </c:pt>
                <c:pt idx="61">
                  <c:v>0</c:v>
                </c:pt>
                <c:pt idx="62">
                  <c:v>0</c:v>
                </c:pt>
                <c:pt idx="63">
                  <c:v>0</c:v>
                </c:pt>
                <c:pt idx="64">
                  <c:v>0</c:v>
                </c:pt>
                <c:pt idx="65">
                  <c:v>0</c:v>
                </c:pt>
                <c:pt idx="66">
                  <c:v>0</c:v>
                </c:pt>
                <c:pt idx="67">
                  <c:v>34000</c:v>
                </c:pt>
                <c:pt idx="68">
                  <c:v>34000</c:v>
                </c:pt>
                <c:pt idx="69">
                  <c:v>0</c:v>
                </c:pt>
                <c:pt idx="70">
                  <c:v>34000</c:v>
                </c:pt>
              </c:numCache>
            </c:numRef>
          </c:yVal>
          <c:smooth val="0"/>
        </c:ser>
        <c:ser>
          <c:idx val="2"/>
          <c:order val="2"/>
          <c:tx>
            <c:strRef>
              <c:f>'CW2 Sheet '!$AM$84</c:f>
              <c:strCache>
                <c:ptCount val="1"/>
                <c:pt idx="0">
                  <c:v>battery supply power </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yVal>
            <c:numRef>
              <c:f>'CW2 Sheet '!$AN$85:$AN$155</c:f>
              <c:numCache>
                <c:formatCode>General</c:formatCode>
                <c:ptCount val="71"/>
                <c:pt idx="0">
                  <c:v>0</c:v>
                </c:pt>
                <c:pt idx="1">
                  <c:v>0</c:v>
                </c:pt>
                <c:pt idx="2">
                  <c:v>17828.218524129697</c:v>
                </c:pt>
                <c:pt idx="3">
                  <c:v>51686.555596339444</c:v>
                </c:pt>
                <c:pt idx="4">
                  <c:v>105060.97827298066</c:v>
                </c:pt>
                <c:pt idx="5">
                  <c:v>4674.3001022293374</c:v>
                </c:pt>
                <c:pt idx="6">
                  <c:v>0</c:v>
                </c:pt>
                <c:pt idx="7">
                  <c:v>0</c:v>
                </c:pt>
                <c:pt idx="8">
                  <c:v>0</c:v>
                </c:pt>
                <c:pt idx="9">
                  <c:v>5347.525802914909</c:v>
                </c:pt>
                <c:pt idx="10">
                  <c:v>6981.2529900257286</c:v>
                </c:pt>
                <c:pt idx="11">
                  <c:v>0</c:v>
                </c:pt>
                <c:pt idx="12">
                  <c:v>0</c:v>
                </c:pt>
                <c:pt idx="13">
                  <c:v>0</c:v>
                </c:pt>
                <c:pt idx="14">
                  <c:v>0</c:v>
                </c:pt>
                <c:pt idx="15">
                  <c:v>0</c:v>
                </c:pt>
                <c:pt idx="16">
                  <c:v>0</c:v>
                </c:pt>
                <c:pt idx="17">
                  <c:v>1172.236604944685</c:v>
                </c:pt>
                <c:pt idx="18">
                  <c:v>3444.5273050027504</c:v>
                </c:pt>
                <c:pt idx="19">
                  <c:v>0</c:v>
                </c:pt>
                <c:pt idx="20">
                  <c:v>0</c:v>
                </c:pt>
                <c:pt idx="21">
                  <c:v>0</c:v>
                </c:pt>
                <c:pt idx="22">
                  <c:v>0</c:v>
                </c:pt>
                <c:pt idx="23">
                  <c:v>0</c:v>
                </c:pt>
                <c:pt idx="24">
                  <c:v>0</c:v>
                </c:pt>
                <c:pt idx="25">
                  <c:v>0</c:v>
                </c:pt>
                <c:pt idx="26">
                  <c:v>0</c:v>
                </c:pt>
                <c:pt idx="27">
                  <c:v>0</c:v>
                </c:pt>
                <c:pt idx="28">
                  <c:v>0</c:v>
                </c:pt>
                <c:pt idx="29">
                  <c:v>852.53649349109162</c:v>
                </c:pt>
                <c:pt idx="30">
                  <c:v>0</c:v>
                </c:pt>
                <c:pt idx="31">
                  <c:v>3284.3282044034713</c:v>
                </c:pt>
                <c:pt idx="32">
                  <c:v>30034.04345864182</c:v>
                </c:pt>
                <c:pt idx="33">
                  <c:v>0</c:v>
                </c:pt>
                <c:pt idx="34">
                  <c:v>1007.7229282233668</c:v>
                </c:pt>
                <c:pt idx="35">
                  <c:v>0</c:v>
                </c:pt>
                <c:pt idx="36">
                  <c:v>0</c:v>
                </c:pt>
                <c:pt idx="37">
                  <c:v>0</c:v>
                </c:pt>
                <c:pt idx="38">
                  <c:v>0</c:v>
                </c:pt>
                <c:pt idx="39">
                  <c:v>0</c:v>
                </c:pt>
                <c:pt idx="40">
                  <c:v>0</c:v>
                </c:pt>
                <c:pt idx="41">
                  <c:v>0</c:v>
                </c:pt>
                <c:pt idx="42">
                  <c:v>15273.78115731867</c:v>
                </c:pt>
                <c:pt idx="43">
                  <c:v>33571.5656886293</c:v>
                </c:pt>
                <c:pt idx="44">
                  <c:v>68211.548010049155</c:v>
                </c:pt>
                <c:pt idx="45">
                  <c:v>21365.772378392416</c:v>
                </c:pt>
                <c:pt idx="46">
                  <c:v>0</c:v>
                </c:pt>
                <c:pt idx="47">
                  <c:v>0</c:v>
                </c:pt>
                <c:pt idx="48">
                  <c:v>0</c:v>
                </c:pt>
                <c:pt idx="49">
                  <c:v>329.78216720455481</c:v>
                </c:pt>
                <c:pt idx="50">
                  <c:v>109.32372087976664</c:v>
                </c:pt>
                <c:pt idx="51">
                  <c:v>602.99893281071877</c:v>
                </c:pt>
                <c:pt idx="52">
                  <c:v>1947.0604541988887</c:v>
                </c:pt>
                <c:pt idx="53">
                  <c:v>0</c:v>
                </c:pt>
                <c:pt idx="54">
                  <c:v>0</c:v>
                </c:pt>
                <c:pt idx="55">
                  <c:v>0</c:v>
                </c:pt>
                <c:pt idx="56">
                  <c:v>0</c:v>
                </c:pt>
                <c:pt idx="57">
                  <c:v>0</c:v>
                </c:pt>
                <c:pt idx="58">
                  <c:v>7879.6731368183537</c:v>
                </c:pt>
                <c:pt idx="59">
                  <c:v>15332.662220224855</c:v>
                </c:pt>
                <c:pt idx="60">
                  <c:v>0</c:v>
                </c:pt>
                <c:pt idx="61">
                  <c:v>0</c:v>
                </c:pt>
                <c:pt idx="62">
                  <c:v>0</c:v>
                </c:pt>
                <c:pt idx="63">
                  <c:v>0</c:v>
                </c:pt>
                <c:pt idx="64">
                  <c:v>0</c:v>
                </c:pt>
                <c:pt idx="65">
                  <c:v>10899.259602751037</c:v>
                </c:pt>
                <c:pt idx="66">
                  <c:v>11959.879645812254</c:v>
                </c:pt>
                <c:pt idx="67">
                  <c:v>0</c:v>
                </c:pt>
                <c:pt idx="68">
                  <c:v>0</c:v>
                </c:pt>
                <c:pt idx="69">
                  <c:v>15305.387755995906</c:v>
                </c:pt>
                <c:pt idx="70">
                  <c:v>286.45724510826403</c:v>
                </c:pt>
              </c:numCache>
            </c:numRef>
          </c:yVal>
          <c:smooth val="0"/>
        </c:ser>
        <c:dLbls>
          <c:showLegendKey val="0"/>
          <c:showVal val="0"/>
          <c:showCatName val="0"/>
          <c:showSerName val="0"/>
          <c:showPercent val="0"/>
          <c:showBubbleSize val="0"/>
        </c:dLbls>
        <c:axId val="462575736"/>
        <c:axId val="462576520"/>
      </c:scatterChart>
      <c:valAx>
        <c:axId val="4625757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6520"/>
        <c:crosses val="autoZero"/>
        <c:crossBetween val="midCat"/>
      </c:valAx>
      <c:valAx>
        <c:axId val="4625765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57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'CW2 Sheet '!$AO$85:$AO$155</c:f>
              <c:numCache>
                <c:formatCode>General</c:formatCode>
                <c:ptCount val="71"/>
                <c:pt idx="0">
                  <c:v>0</c:v>
                </c:pt>
                <c:pt idx="1">
                  <c:v>13007.493343853268</c:v>
                </c:pt>
                <c:pt idx="2">
                  <c:v>0</c:v>
                </c:pt>
                <c:pt idx="3">
                  <c:v>0</c:v>
                </c:pt>
                <c:pt idx="4">
                  <c:v>0</c:v>
                </c:pt>
                <c:pt idx="5">
                  <c:v>0</c:v>
                </c:pt>
                <c:pt idx="6">
                  <c:v>5148.1758766591538</c:v>
                </c:pt>
                <c:pt idx="7">
                  <c:v>10494.477111248778</c:v>
                </c:pt>
                <c:pt idx="8">
                  <c:v>8070.1159225286401</c:v>
                </c:pt>
                <c:pt idx="9">
                  <c:v>0</c:v>
                </c:pt>
                <c:pt idx="10">
                  <c:v>0</c:v>
                </c:pt>
                <c:pt idx="11">
                  <c:v>20011.626399534573</c:v>
                </c:pt>
                <c:pt idx="12">
                  <c:v>1005.6283552535531</c:v>
                </c:pt>
                <c:pt idx="13">
                  <c:v>10129.76259142366</c:v>
                </c:pt>
                <c:pt idx="14">
                  <c:v>7238.0775356824624</c:v>
                </c:pt>
                <c:pt idx="15">
                  <c:v>2495.7019413456255</c:v>
                </c:pt>
                <c:pt idx="16">
                  <c:v>259.94469645738661</c:v>
                </c:pt>
                <c:pt idx="17">
                  <c:v>0</c:v>
                </c:pt>
                <c:pt idx="18">
                  <c:v>0</c:v>
                </c:pt>
                <c:pt idx="19">
                  <c:v>2343.6689963511467</c:v>
                </c:pt>
                <c:pt idx="20">
                  <c:v>601.66398567153726</c:v>
                </c:pt>
                <c:pt idx="21">
                  <c:v>31.529903437769772</c:v>
                </c:pt>
                <c:pt idx="22">
                  <c:v>56.351870533721474</c:v>
                </c:pt>
                <c:pt idx="23">
                  <c:v>78.570233299315873</c:v>
                </c:pt>
                <c:pt idx="24">
                  <c:v>111.24912732714046</c:v>
                </c:pt>
                <c:pt idx="25">
                  <c:v>1042.7078643626503</c:v>
                </c:pt>
                <c:pt idx="26">
                  <c:v>1374.9087682846562</c:v>
                </c:pt>
                <c:pt idx="27">
                  <c:v>1396.780930604757</c:v>
                </c:pt>
                <c:pt idx="28">
                  <c:v>1417.616205035054</c:v>
                </c:pt>
                <c:pt idx="29">
                  <c:v>0</c:v>
                </c:pt>
                <c:pt idx="30">
                  <c:v>19137.433418421249</c:v>
                </c:pt>
                <c:pt idx="31">
                  <c:v>0</c:v>
                </c:pt>
                <c:pt idx="32">
                  <c:v>0</c:v>
                </c:pt>
                <c:pt idx="33">
                  <c:v>5178.7613364431982</c:v>
                </c:pt>
                <c:pt idx="34">
                  <c:v>0</c:v>
                </c:pt>
                <c:pt idx="35">
                  <c:v>14967.247797568078</c:v>
                </c:pt>
                <c:pt idx="36">
                  <c:v>20035.253396400072</c:v>
                </c:pt>
                <c:pt idx="37">
                  <c:v>15652.807601099466</c:v>
                </c:pt>
                <c:pt idx="38">
                  <c:v>7931.3469219279004</c:v>
                </c:pt>
                <c:pt idx="39">
                  <c:v>185.92087825220662</c:v>
                </c:pt>
                <c:pt idx="40">
                  <c:v>25366.52469487744</c:v>
                </c:pt>
                <c:pt idx="41">
                  <c:v>17141.122537916552</c:v>
                </c:pt>
                <c:pt idx="42">
                  <c:v>0</c:v>
                </c:pt>
                <c:pt idx="43">
                  <c:v>0</c:v>
                </c:pt>
                <c:pt idx="44">
                  <c:v>0</c:v>
                </c:pt>
                <c:pt idx="45">
                  <c:v>0</c:v>
                </c:pt>
                <c:pt idx="46">
                  <c:v>12496.509944182601</c:v>
                </c:pt>
                <c:pt idx="47">
                  <c:v>4030.5925982535205</c:v>
                </c:pt>
                <c:pt idx="48">
                  <c:v>7023.4805583952557</c:v>
                </c:pt>
                <c:pt idx="49">
                  <c:v>0</c:v>
                </c:pt>
                <c:pt idx="50">
                  <c:v>0</c:v>
                </c:pt>
                <c:pt idx="51">
                  <c:v>0</c:v>
                </c:pt>
                <c:pt idx="52">
                  <c:v>0</c:v>
                </c:pt>
                <c:pt idx="53">
                  <c:v>3302.9638066390671</c:v>
                </c:pt>
                <c:pt idx="54">
                  <c:v>20234.33478102757</c:v>
                </c:pt>
                <c:pt idx="55">
                  <c:v>17688.92297000625</c:v>
                </c:pt>
                <c:pt idx="56">
                  <c:v>12957.973281908047</c:v>
                </c:pt>
                <c:pt idx="57">
                  <c:v>3933.9259801278722</c:v>
                </c:pt>
                <c:pt idx="58">
                  <c:v>0</c:v>
                </c:pt>
                <c:pt idx="59">
                  <c:v>0</c:v>
                </c:pt>
                <c:pt idx="60">
                  <c:v>13991.647553324861</c:v>
                </c:pt>
                <c:pt idx="61">
                  <c:v>4592.4820148248582</c:v>
                </c:pt>
                <c:pt idx="62">
                  <c:v>39270.359365347416</c:v>
                </c:pt>
                <c:pt idx="63">
                  <c:v>30361.271733490928</c:v>
                </c:pt>
                <c:pt idx="64">
                  <c:v>22061.925674366568</c:v>
                </c:pt>
                <c:pt idx="65">
                  <c:v>0</c:v>
                </c:pt>
                <c:pt idx="66">
                  <c:v>0</c:v>
                </c:pt>
                <c:pt idx="67">
                  <c:v>16741.942283821598</c:v>
                </c:pt>
                <c:pt idx="68">
                  <c:v>15851.478952826685</c:v>
                </c:pt>
                <c:pt idx="69">
                  <c:v>0</c:v>
                </c:pt>
                <c:pt idx="70">
                  <c:v>0</c:v>
                </c:pt>
              </c:numCache>
            </c:numRef>
          </c:yVal>
          <c:smooth val="0"/>
        </c:ser>
        <c:dLbls>
          <c:showLegendKey val="0"/>
          <c:showVal val="0"/>
          <c:showCatName val="0"/>
          <c:showSerName val="0"/>
          <c:showPercent val="0"/>
          <c:showBubbleSize val="0"/>
        </c:dLbls>
        <c:axId val="462577304"/>
        <c:axId val="465040656"/>
      </c:scatterChart>
      <c:valAx>
        <c:axId val="46257730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0656"/>
        <c:crosses val="autoZero"/>
        <c:crossBetween val="midCat"/>
      </c:valAx>
      <c:valAx>
        <c:axId val="4650406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5773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'CW2 Sheet '!$AP$84</c:f>
              <c:strCache>
                <c:ptCount val="1"/>
                <c:pt idx="0">
                  <c:v>SOC (24V)</c:v>
                </c:pt>
              </c:strCache>
            </c:strRef>
          </c:tx>
          <c:spPr>
            <a:ln w="28575" cap="rnd">
              <a:solidFill>
                <a:schemeClr val="accent1"/>
              </a:solidFill>
              <a:round/>
            </a:ln>
            <a:effectLst/>
          </c:spPr>
          <c:marker>
            <c:symbol val="none"/>
          </c:marker>
          <c:trendline>
            <c:spPr>
              <a:ln w="50800" cap="rnd">
                <a:solidFill>
                  <a:schemeClr val="accent3">
                    <a:lumMod val="75000"/>
                  </a:schemeClr>
                </a:solidFill>
                <a:prstDash val="sysDot"/>
              </a:ln>
              <a:effectLst/>
            </c:spPr>
            <c:trendlineType val="linear"/>
            <c:dispRSqr val="0"/>
            <c:dispEq val="0"/>
          </c:trendline>
          <c:val>
            <c:numRef>
              <c:f>'CW2 Sheet '!$AP$85:$AP$155</c:f>
              <c:numCache>
                <c:formatCode>General</c:formatCode>
                <c:ptCount val="71"/>
                <c:pt idx="0">
                  <c:v>24.8</c:v>
                </c:pt>
                <c:pt idx="1">
                  <c:v>26.967915557308878</c:v>
                </c:pt>
                <c:pt idx="2">
                  <c:v>23.249054788821248</c:v>
                </c:pt>
                <c:pt idx="3">
                  <c:v>20.014601998061583</c:v>
                </c:pt>
                <c:pt idx="4">
                  <c:v>13.440072694370677</c:v>
                </c:pt>
                <c:pt idx="5">
                  <c:v>12.465041383934853</c:v>
                </c:pt>
                <c:pt idx="6">
                  <c:v>13.323070696711378</c:v>
                </c:pt>
                <c:pt idx="7">
                  <c:v>15.07215021525284</c:v>
                </c:pt>
                <c:pt idx="8">
                  <c:v>16.41716953567428</c:v>
                </c:pt>
                <c:pt idx="9">
                  <c:v>15.301707332312805</c:v>
                </c:pt>
                <c:pt idx="10">
                  <c:v>13.8454593160371</c:v>
                </c:pt>
                <c:pt idx="11">
                  <c:v>17.180730382626194</c:v>
                </c:pt>
                <c:pt idx="12">
                  <c:v>17.348335108501786</c:v>
                </c:pt>
                <c:pt idx="13">
                  <c:v>19.036628873739062</c:v>
                </c:pt>
                <c:pt idx="14">
                  <c:v>20.24297512968614</c:v>
                </c:pt>
                <c:pt idx="15">
                  <c:v>20.658925453243743</c:v>
                </c:pt>
                <c:pt idx="16">
                  <c:v>20.702249569319974</c:v>
                </c:pt>
                <c:pt idx="17">
                  <c:v>20.457727957942275</c:v>
                </c:pt>
                <c:pt idx="18">
                  <c:v>19.739219967745623</c:v>
                </c:pt>
                <c:pt idx="19">
                  <c:v>20.129831467137482</c:v>
                </c:pt>
                <c:pt idx="20">
                  <c:v>20.230108798082739</c:v>
                </c:pt>
                <c:pt idx="21">
                  <c:v>20.235363781989033</c:v>
                </c:pt>
                <c:pt idx="22">
                  <c:v>20.244755760411319</c:v>
                </c:pt>
                <c:pt idx="23">
                  <c:v>20.257850799294538</c:v>
                </c:pt>
                <c:pt idx="24">
                  <c:v>20.276392320515729</c:v>
                </c:pt>
                <c:pt idx="25">
                  <c:v>20.450176964576169</c:v>
                </c:pt>
                <c:pt idx="26">
                  <c:v>20.679328425956946</c:v>
                </c:pt>
                <c:pt idx="27">
                  <c:v>20.912125247724404</c:v>
                </c:pt>
                <c:pt idx="28">
                  <c:v>21.148394615230245</c:v>
                </c:pt>
                <c:pt idx="29">
                  <c:v>20.970560553175364</c:v>
                </c:pt>
                <c:pt idx="30">
                  <c:v>24.160132789578906</c:v>
                </c:pt>
                <c:pt idx="31">
                  <c:v>23.475041382736297</c:v>
                </c:pt>
                <c:pt idx="32">
                  <c:v>17.210117841092195</c:v>
                </c:pt>
                <c:pt idx="33">
                  <c:v>18.073244730499397</c:v>
                </c:pt>
                <c:pt idx="34">
                  <c:v>17.863039697494941</c:v>
                </c:pt>
                <c:pt idx="35">
                  <c:v>20.35758099708962</c:v>
                </c:pt>
                <c:pt idx="36">
                  <c:v>23.696789896489634</c:v>
                </c:pt>
                <c:pt idx="37">
                  <c:v>26.305591163339546</c:v>
                </c:pt>
                <c:pt idx="38">
                  <c:v>27.627482316994197</c:v>
                </c:pt>
                <c:pt idx="39">
                  <c:v>27.658469130036231</c:v>
                </c:pt>
                <c:pt idx="40">
                  <c:v>31.886223245849138</c:v>
                </c:pt>
                <c:pt idx="41">
                  <c:v>34.743077002168562</c:v>
                </c:pt>
                <c:pt idx="42">
                  <c:v>31.557056735727453</c:v>
                </c:pt>
                <c:pt idx="43">
                  <c:v>24.554227013443494</c:v>
                </c:pt>
                <c:pt idx="44">
                  <c:v>10.325702188652263</c:v>
                </c:pt>
                <c:pt idx="45">
                  <c:v>5.8689286428883047</c:v>
                </c:pt>
                <c:pt idx="46">
                  <c:v>7.9516803002520717</c:v>
                </c:pt>
                <c:pt idx="47">
                  <c:v>8.6234457332943251</c:v>
                </c:pt>
                <c:pt idx="48">
                  <c:v>9.7940258263602011</c:v>
                </c:pt>
                <c:pt idx="49">
                  <c:v>9.7252352199345538</c:v>
                </c:pt>
                <c:pt idx="50">
                  <c:v>9.7024309394006014</c:v>
                </c:pt>
                <c:pt idx="51">
                  <c:v>9.5766489342252328</c:v>
                </c:pt>
                <c:pt idx="52">
                  <c:v>9.17050365800519</c:v>
                </c:pt>
                <c:pt idx="53">
                  <c:v>9.7209976257783683</c:v>
                </c:pt>
                <c:pt idx="54">
                  <c:v>13.093386755949631</c:v>
                </c:pt>
                <c:pt idx="55">
                  <c:v>16.041540584284007</c:v>
                </c:pt>
                <c:pt idx="56">
                  <c:v>18.201202797935348</c:v>
                </c:pt>
                <c:pt idx="57">
                  <c:v>18.856857127956662</c:v>
                </c:pt>
                <c:pt idx="58">
                  <c:v>17.213203991365432</c:v>
                </c:pt>
                <c:pt idx="59">
                  <c:v>14.014901484017736</c:v>
                </c:pt>
                <c:pt idx="60">
                  <c:v>16.346842742905213</c:v>
                </c:pt>
                <c:pt idx="61">
                  <c:v>17.11225641204269</c:v>
                </c:pt>
                <c:pt idx="62">
                  <c:v>23.657316306267258</c:v>
                </c:pt>
                <c:pt idx="63">
                  <c:v>28.717528261849079</c:v>
                </c:pt>
                <c:pt idx="64">
                  <c:v>32.39451587424351</c:v>
                </c:pt>
                <c:pt idx="65">
                  <c:v>30.120994889105621</c:v>
                </c:pt>
                <c:pt idx="66">
                  <c:v>27.626234846174405</c:v>
                </c:pt>
                <c:pt idx="67">
                  <c:v>30.416558560144672</c:v>
                </c:pt>
                <c:pt idx="68">
                  <c:v>33.058471718949122</c:v>
                </c:pt>
                <c:pt idx="69">
                  <c:v>29.865858503263702</c:v>
                </c:pt>
                <c:pt idx="70">
                  <c:v>29.806105218927392</c:v>
                </c:pt>
              </c:numCache>
            </c:numRef>
          </c:val>
          <c:smooth val="0"/>
        </c:ser>
        <c:ser>
          <c:idx val="1"/>
          <c:order val="1"/>
          <c:tx>
            <c:strRef>
              <c:f>'CW2 Sheet '!$AQ$84</c:f>
              <c:strCache>
                <c:ptCount val="1"/>
                <c:pt idx="0">
                  <c:v>SOC % (24V)</c:v>
                </c:pt>
              </c:strCache>
            </c:strRef>
          </c:tx>
          <c:spPr>
            <a:ln w="28575" cap="rnd">
              <a:solidFill>
                <a:schemeClr val="accent2"/>
              </a:solidFill>
              <a:round/>
            </a:ln>
            <a:effectLst/>
          </c:spPr>
          <c:marker>
            <c:symbol val="none"/>
          </c:marker>
          <c:trendline>
            <c:spPr>
              <a:ln w="38100" cap="rnd">
                <a:solidFill>
                  <a:srgbClr val="0070C0"/>
                </a:solidFill>
                <a:prstDash val="sysDot"/>
              </a:ln>
              <a:effectLst/>
            </c:spPr>
            <c:trendlineType val="linear"/>
            <c:dispRSqr val="0"/>
            <c:dispEq val="0"/>
          </c:trendline>
          <c:val>
            <c:numRef>
              <c:f>'CW2 Sheet '!$AQ$85:$AQ$155</c:f>
              <c:numCache>
                <c:formatCode>General</c:formatCode>
                <c:ptCount val="71"/>
                <c:pt idx="0">
                  <c:v>100</c:v>
                </c:pt>
                <c:pt idx="1">
                  <c:v>108.74159498914871</c:v>
                </c:pt>
                <c:pt idx="2">
                  <c:v>93.746188664601803</c:v>
                </c:pt>
                <c:pt idx="3">
                  <c:v>80.704040314764441</c:v>
                </c:pt>
                <c:pt idx="4">
                  <c:v>54.193841509559185</c:v>
                </c:pt>
                <c:pt idx="5">
                  <c:v>50.262263644898596</c:v>
                </c:pt>
                <c:pt idx="6">
                  <c:v>53.722059260932973</c:v>
                </c:pt>
                <c:pt idx="7">
                  <c:v>60.774799255051768</c:v>
                </c:pt>
                <c:pt idx="8">
                  <c:v>66.198264256751131</c:v>
                </c:pt>
                <c:pt idx="9">
                  <c:v>61.700432791583893</c:v>
                </c:pt>
                <c:pt idx="10">
                  <c:v>55.828464984020563</c:v>
                </c:pt>
                <c:pt idx="11">
                  <c:v>69.277138639621754</c:v>
                </c:pt>
                <c:pt idx="12">
                  <c:v>69.952964147184616</c:v>
                </c:pt>
                <c:pt idx="13">
                  <c:v>76.760600297334918</c:v>
                </c:pt>
                <c:pt idx="14">
                  <c:v>81.624899716476378</c:v>
                </c:pt>
                <c:pt idx="15">
                  <c:v>83.302118763079605</c:v>
                </c:pt>
                <c:pt idx="16">
                  <c:v>83.476812779516024</c:v>
                </c:pt>
                <c:pt idx="17">
                  <c:v>82.490838540089811</c:v>
                </c:pt>
                <c:pt idx="18">
                  <c:v>79.593628902200081</c:v>
                </c:pt>
                <c:pt idx="19">
                  <c:v>81.168675270715653</c:v>
                </c:pt>
                <c:pt idx="20">
                  <c:v>81.573019347107817</c:v>
                </c:pt>
                <c:pt idx="21">
                  <c:v>81.594208798342876</c:v>
                </c:pt>
                <c:pt idx="22">
                  <c:v>81.63207967907789</c:v>
                </c:pt>
                <c:pt idx="23">
                  <c:v>81.684882255219904</c:v>
                </c:pt>
                <c:pt idx="24">
                  <c:v>81.759646453692454</c:v>
                </c:pt>
                <c:pt idx="25">
                  <c:v>82.460390986194227</c:v>
                </c:pt>
                <c:pt idx="26">
                  <c:v>83.384388814342529</c:v>
                </c:pt>
                <c:pt idx="27">
                  <c:v>84.323085676308068</c:v>
                </c:pt>
                <c:pt idx="28">
                  <c:v>85.275784738831632</c:v>
                </c:pt>
                <c:pt idx="29">
                  <c:v>84.558711907965176</c:v>
                </c:pt>
                <c:pt idx="30">
                  <c:v>97.419890280560111</c:v>
                </c:pt>
                <c:pt idx="31">
                  <c:v>94.657424930388288</c:v>
                </c:pt>
                <c:pt idx="32">
                  <c:v>69.395636456016916</c:v>
                </c:pt>
                <c:pt idx="33">
                  <c:v>72.875986816529831</c:v>
                </c:pt>
                <c:pt idx="34">
                  <c:v>72.028385876995728</c:v>
                </c:pt>
                <c:pt idx="35">
                  <c:v>82.087020149554917</c:v>
                </c:pt>
                <c:pt idx="36">
                  <c:v>95.551572163264652</c:v>
                </c:pt>
                <c:pt idx="37">
                  <c:v>106.07093211024011</c:v>
                </c:pt>
                <c:pt idx="38">
                  <c:v>111.40113837497661</c:v>
                </c:pt>
                <c:pt idx="39">
                  <c:v>111.526085201759</c:v>
                </c:pt>
                <c:pt idx="40">
                  <c:v>128.57348083003683</c:v>
                </c:pt>
                <c:pt idx="41">
                  <c:v>140.09305242809904</c:v>
                </c:pt>
                <c:pt idx="42">
                  <c:v>127.24619651503004</c:v>
                </c:pt>
                <c:pt idx="43">
                  <c:v>99.00897989291731</c:v>
                </c:pt>
                <c:pt idx="44">
                  <c:v>41.635895921984932</c:v>
                </c:pt>
                <c:pt idx="45">
                  <c:v>23.665034850356069</c:v>
                </c:pt>
                <c:pt idx="46">
                  <c:v>32.063227017145451</c:v>
                </c:pt>
                <c:pt idx="47">
                  <c:v>34.771958601993248</c:v>
                </c:pt>
                <c:pt idx="48">
                  <c:v>39.492039622420165</c:v>
                </c:pt>
                <c:pt idx="49">
                  <c:v>39.214658144897392</c:v>
                </c:pt>
                <c:pt idx="50">
                  <c:v>39.122705400808876</c:v>
                </c:pt>
                <c:pt idx="51">
                  <c:v>38.615519896069486</c:v>
                </c:pt>
                <c:pt idx="52">
                  <c:v>36.977837330666084</c:v>
                </c:pt>
                <c:pt idx="53">
                  <c:v>39.197571071686973</c:v>
                </c:pt>
                <c:pt idx="54">
                  <c:v>52.795914338506577</c:v>
                </c:pt>
                <c:pt idx="55">
                  <c:v>64.683631388241963</c:v>
                </c:pt>
                <c:pt idx="56">
                  <c:v>73.39194676586834</c:v>
                </c:pt>
                <c:pt idx="57">
                  <c:v>76.035714225631708</c:v>
                </c:pt>
                <c:pt idx="58">
                  <c:v>69.408080610344484</c:v>
                </c:pt>
                <c:pt idx="59">
                  <c:v>56.511699532329587</c:v>
                </c:pt>
                <c:pt idx="60">
                  <c:v>65.914688479456501</c:v>
                </c:pt>
                <c:pt idx="61">
                  <c:v>69.001033919526975</c:v>
                </c:pt>
                <c:pt idx="62">
                  <c:v>95.392404460755074</c:v>
                </c:pt>
                <c:pt idx="63">
                  <c:v>115.79648492681081</c:v>
                </c:pt>
                <c:pt idx="64">
                  <c:v>130.62304788001416</c:v>
                </c:pt>
                <c:pt idx="65">
                  <c:v>121.45562455284524</c:v>
                </c:pt>
                <c:pt idx="66">
                  <c:v>111.39610825070325</c:v>
                </c:pt>
                <c:pt idx="67">
                  <c:v>122.64741354897043</c:v>
                </c:pt>
                <c:pt idx="68">
                  <c:v>133.30028918931097</c:v>
                </c:pt>
                <c:pt idx="69">
                  <c:v>120.42684880348267</c:v>
                </c:pt>
                <c:pt idx="70">
                  <c:v>120.18590814083625</c:v>
                </c:pt>
              </c:numCache>
            </c:numRef>
          </c:val>
          <c:smooth val="0"/>
        </c:ser>
        <c:dLbls>
          <c:showLegendKey val="0"/>
          <c:showVal val="0"/>
          <c:showCatName val="0"/>
          <c:showSerName val="0"/>
          <c:showPercent val="0"/>
          <c:showBubbleSize val="0"/>
        </c:dLbls>
        <c:smooth val="0"/>
        <c:axId val="465044968"/>
        <c:axId val="465045360"/>
      </c:lineChart>
      <c:catAx>
        <c:axId val="465044968"/>
        <c:scaling>
          <c:orientation val="minMax"/>
        </c:scaling>
        <c:delete val="0"/>
        <c:axPos val="b"/>
        <c:title>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5360"/>
        <c:crosses val="autoZero"/>
        <c:auto val="1"/>
        <c:lblAlgn val="ctr"/>
        <c:lblOffset val="100"/>
        <c:noMultiLvlLbl val="0"/>
      </c:catAx>
      <c:valAx>
        <c:axId val="465045360"/>
        <c:scaling>
          <c:orientation val="minMax"/>
        </c:scaling>
        <c:delete val="0"/>
        <c:axPos val="l"/>
        <c:majorGridlines>
          <c:spPr>
            <a:ln w="9525" cap="flat" cmpd="sng" algn="ctr">
              <a:solidFill>
                <a:schemeClr val="tx1">
                  <a:lumMod val="15000"/>
                  <a:lumOff val="85000"/>
                </a:schemeClr>
              </a:solidFill>
              <a:round/>
            </a:ln>
            <a:effectLst/>
          </c:spPr>
        </c:majorGridlines>
        <c:title>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4968"/>
        <c:crosses val="autoZero"/>
        <c:crossBetween val="between"/>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'CW2 Sheet '!$AJ$85:$AJ$155</c:f>
              <c:numCache>
                <c:formatCode>General</c:formatCode>
                <c:ptCount val="71"/>
                <c:pt idx="0">
                  <c:v>0</c:v>
                </c:pt>
                <c:pt idx="1">
                  <c:v>1</c:v>
                </c:pt>
                <c:pt idx="2">
                  <c:v>1</c:v>
                </c:pt>
                <c:pt idx="3">
                  <c:v>1</c:v>
                </c:pt>
                <c:pt idx="4">
                  <c:v>1</c:v>
                </c:pt>
                <c:pt idx="5">
                  <c:v>0</c:v>
                </c:pt>
                <c:pt idx="6">
                  <c:v>0</c:v>
                </c:pt>
                <c:pt idx="7">
                  <c:v>0</c:v>
                </c:pt>
                <c:pt idx="8">
                  <c:v>0</c:v>
                </c:pt>
                <c:pt idx="9">
                  <c:v>0</c:v>
                </c:pt>
                <c:pt idx="10">
                  <c:v>0</c:v>
                </c:pt>
                <c:pt idx="11">
                  <c:v>1</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1</c:v>
                </c:pt>
                <c:pt idx="31">
                  <c:v>1</c:v>
                </c:pt>
                <c:pt idx="32">
                  <c:v>1</c:v>
                </c:pt>
                <c:pt idx="33">
                  <c:v>1</c:v>
                </c:pt>
                <c:pt idx="34">
                  <c:v>0</c:v>
                </c:pt>
                <c:pt idx="35">
                  <c:v>0</c:v>
                </c:pt>
                <c:pt idx="36">
                  <c:v>0</c:v>
                </c:pt>
                <c:pt idx="37">
                  <c:v>0</c:v>
                </c:pt>
                <c:pt idx="38">
                  <c:v>0</c:v>
                </c:pt>
                <c:pt idx="39">
                  <c:v>0</c:v>
                </c:pt>
                <c:pt idx="40">
                  <c:v>1</c:v>
                </c:pt>
                <c:pt idx="41">
                  <c:v>1</c:v>
                </c:pt>
                <c:pt idx="42">
                  <c:v>1</c:v>
                </c:pt>
                <c:pt idx="43">
                  <c:v>1</c:v>
                </c:pt>
                <c:pt idx="44">
                  <c:v>1</c:v>
                </c:pt>
                <c:pt idx="45">
                  <c:v>1</c:v>
                </c:pt>
                <c:pt idx="46">
                  <c:v>0</c:v>
                </c:pt>
                <c:pt idx="47">
                  <c:v>0</c:v>
                </c:pt>
                <c:pt idx="48">
                  <c:v>0</c:v>
                </c:pt>
                <c:pt idx="49">
                  <c:v>0</c:v>
                </c:pt>
                <c:pt idx="50">
                  <c:v>0</c:v>
                </c:pt>
                <c:pt idx="51">
                  <c:v>0</c:v>
                </c:pt>
                <c:pt idx="52">
                  <c:v>0</c:v>
                </c:pt>
                <c:pt idx="53">
                  <c:v>0</c:v>
                </c:pt>
                <c:pt idx="54">
                  <c:v>1</c:v>
                </c:pt>
                <c:pt idx="55">
                  <c:v>1</c:v>
                </c:pt>
                <c:pt idx="56">
                  <c:v>1</c:v>
                </c:pt>
                <c:pt idx="57">
                  <c:v>1</c:v>
                </c:pt>
                <c:pt idx="58">
                  <c:v>1</c:v>
                </c:pt>
                <c:pt idx="59">
                  <c:v>1</c:v>
                </c:pt>
                <c:pt idx="60">
                  <c:v>0</c:v>
                </c:pt>
                <c:pt idx="61">
                  <c:v>0</c:v>
                </c:pt>
                <c:pt idx="62">
                  <c:v>0</c:v>
                </c:pt>
                <c:pt idx="63">
                  <c:v>0</c:v>
                </c:pt>
                <c:pt idx="64">
                  <c:v>0</c:v>
                </c:pt>
                <c:pt idx="65">
                  <c:v>1</c:v>
                </c:pt>
                <c:pt idx="66">
                  <c:v>1</c:v>
                </c:pt>
                <c:pt idx="67">
                  <c:v>1</c:v>
                </c:pt>
                <c:pt idx="68">
                  <c:v>1</c:v>
                </c:pt>
                <c:pt idx="69">
                  <c:v>1</c:v>
                </c:pt>
                <c:pt idx="70">
                  <c:v>1</c:v>
                </c:pt>
              </c:numCache>
            </c:numRef>
          </c:val>
          <c:smooth val="0"/>
        </c:ser>
        <c:dLbls>
          <c:showLegendKey val="0"/>
          <c:showVal val="0"/>
          <c:showCatName val="0"/>
          <c:showSerName val="0"/>
          <c:showPercent val="0"/>
          <c:showBubbleSize val="0"/>
        </c:dLbls>
        <c:smooth val="0"/>
        <c:axId val="465040264"/>
        <c:axId val="465041832"/>
      </c:lineChart>
      <c:catAx>
        <c:axId val="46504026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1832"/>
        <c:crosses val="autoZero"/>
        <c:auto val="1"/>
        <c:lblAlgn val="ctr"/>
        <c:lblOffset val="100"/>
        <c:noMultiLvlLbl val="0"/>
      </c:catAx>
      <c:valAx>
        <c:axId val="4650418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02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Resistive Power</a:t>
            </a:r>
            <a:r>
              <a:rPr lang="en-GB" baseline="0"/>
              <a:t> at Wheel (W)</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'CW2 Sheet '!$AB$84</c:f>
              <c:strCache>
                <c:ptCount val="1"/>
                <c:pt idx="0">
                  <c:v>Total Resistive Power (W)</c:v>
                </c:pt>
              </c:strCache>
            </c:strRef>
          </c:tx>
          <c:spPr>
            <a:ln w="28575" cap="rnd">
              <a:solidFill>
                <a:schemeClr val="accent1"/>
              </a:solidFill>
              <a:round/>
            </a:ln>
            <a:effectLst/>
          </c:spPr>
          <c:marker>
            <c:symbol val="none"/>
          </c:marker>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'!$AB$85:$AB$155</c:f>
              <c:numCache>
                <c:formatCode>General</c:formatCode>
                <c:ptCount val="71"/>
                <c:pt idx="0">
                  <c:v>0</c:v>
                </c:pt>
                <c:pt idx="1">
                  <c:v>17720.283674776885</c:v>
                </c:pt>
                <c:pt idx="2">
                  <c:v>51828.218524129697</c:v>
                </c:pt>
                <c:pt idx="3">
                  <c:v>85686.555596339444</c:v>
                </c:pt>
                <c:pt idx="4">
                  <c:v>139060.97827298066</c:v>
                </c:pt>
                <c:pt idx="5">
                  <c:v>4674.3001022293374</c:v>
                </c:pt>
                <c:pt idx="6">
                  <c:v>-6443.2739382467507</c:v>
                </c:pt>
                <c:pt idx="7">
                  <c:v>-13134.514532226256</c:v>
                </c:pt>
                <c:pt idx="8">
                  <c:v>-10100.270240962003</c:v>
                </c:pt>
                <c:pt idx="9">
                  <c:v>5347.525802914909</c:v>
                </c:pt>
                <c:pt idx="10">
                  <c:v>6981.2529900257286</c:v>
                </c:pt>
                <c:pt idx="11">
                  <c:v>8954.1597002070394</c:v>
                </c:pt>
                <c:pt idx="12">
                  <c:v>-1258.6087049481266</c:v>
                </c:pt>
                <c:pt idx="13">
                  <c:v>-12678.050802783055</c:v>
                </c:pt>
                <c:pt idx="14">
                  <c:v>-9058.9205703159732</c:v>
                </c:pt>
                <c:pt idx="15">
                  <c:v>-3123.5318414838871</c:v>
                </c:pt>
                <c:pt idx="16">
                  <c:v>-325.3375424998581</c:v>
                </c:pt>
                <c:pt idx="17">
                  <c:v>1172.236604944685</c:v>
                </c:pt>
                <c:pt idx="18">
                  <c:v>3444.5273050027504</c:v>
                </c:pt>
                <c:pt idx="19">
                  <c:v>-2933.2528114532502</c:v>
                </c:pt>
                <c:pt idx="20">
                  <c:v>-753.02125866275003</c:v>
                </c:pt>
                <c:pt idx="21">
                  <c:v>-39.461706430250032</c:v>
                </c:pt>
                <c:pt idx="22">
                  <c:v>-70.52799816485792</c:v>
                </c:pt>
                <c:pt idx="23">
                  <c:v>-98.335711263223871</c:v>
                </c:pt>
                <c:pt idx="24">
                  <c:v>-139.2354534757703</c:v>
                </c:pt>
                <c:pt idx="25">
                  <c:v>-1305.0161005790367</c:v>
                </c:pt>
                <c:pt idx="26">
                  <c:v>-1720.7869440358652</c:v>
                </c:pt>
                <c:pt idx="27">
                  <c:v>-1748.1613649621493</c:v>
                </c:pt>
                <c:pt idx="28">
                  <c:v>-1774.2380538611442</c:v>
                </c:pt>
                <c:pt idx="29">
                  <c:v>852.53649349109162</c:v>
                </c:pt>
                <c:pt idx="30">
                  <c:v>10048.268562676782</c:v>
                </c:pt>
                <c:pt idx="31">
                  <c:v>37284.328204403471</c:v>
                </c:pt>
                <c:pt idx="32">
                  <c:v>64034.04345864182</c:v>
                </c:pt>
                <c:pt idx="33">
                  <c:v>27518.446387430289</c:v>
                </c:pt>
                <c:pt idx="34">
                  <c:v>1007.7229282233668</c:v>
                </c:pt>
                <c:pt idx="35">
                  <c:v>-18732.47534113652</c:v>
                </c:pt>
                <c:pt idx="36">
                  <c:v>-25075.411009261668</c:v>
                </c:pt>
                <c:pt idx="37">
                  <c:v>-19590.497623403589</c:v>
                </c:pt>
                <c:pt idx="38">
                  <c:v>-9926.5918922752207</c:v>
                </c:pt>
                <c:pt idx="39">
                  <c:v>-232.69196276871921</c:v>
                </c:pt>
                <c:pt idx="40">
                  <c:v>2252.1593305664069</c:v>
                </c:pt>
                <c:pt idx="41">
                  <c:v>12546.780302983036</c:v>
                </c:pt>
                <c:pt idx="42">
                  <c:v>49273.78115731867</c:v>
                </c:pt>
                <c:pt idx="43">
                  <c:v>67571.5656886293</c:v>
                </c:pt>
                <c:pt idx="44">
                  <c:v>102211.54801004915</c:v>
                </c:pt>
                <c:pt idx="45">
                  <c:v>55365.772378392416</c:v>
                </c:pt>
                <c:pt idx="46">
                  <c:v>-15640.187664809264</c:v>
                </c:pt>
                <c:pt idx="47">
                  <c:v>-5044.5464308554701</c:v>
                </c:pt>
                <c:pt idx="48">
                  <c:v>-8790.3386212706591</c:v>
                </c:pt>
                <c:pt idx="49">
                  <c:v>329.78216720455481</c:v>
                </c:pt>
                <c:pt idx="50">
                  <c:v>109.32372087976664</c:v>
                </c:pt>
                <c:pt idx="51">
                  <c:v>602.99893281071877</c:v>
                </c:pt>
                <c:pt idx="52">
                  <c:v>1947.0604541988887</c:v>
                </c:pt>
                <c:pt idx="53">
                  <c:v>-4133.8720984218617</c:v>
                </c:pt>
                <c:pt idx="54">
                  <c:v>8675.4258059730018</c:v>
                </c:pt>
                <c:pt idx="55">
                  <c:v>11861.172753433983</c:v>
                </c:pt>
                <c:pt idx="56">
                  <c:v>17782.261224145121</c:v>
                </c:pt>
                <c:pt idx="57">
                  <c:v>29076.438072430698</c:v>
                </c:pt>
                <c:pt idx="58">
                  <c:v>41879.673136818354</c:v>
                </c:pt>
                <c:pt idx="59">
                  <c:v>49332.662220224855</c:v>
                </c:pt>
                <c:pt idx="60">
                  <c:v>-17511.448752596825</c:v>
                </c:pt>
                <c:pt idx="61">
                  <c:v>-5747.7872525968187</c:v>
                </c:pt>
                <c:pt idx="62">
                  <c:v>-49149.385939108157</c:v>
                </c:pt>
                <c:pt idx="63">
                  <c:v>-37999.088527523068</c:v>
                </c:pt>
                <c:pt idx="64">
                  <c:v>-27611.921995452529</c:v>
                </c:pt>
                <c:pt idx="65">
                  <c:v>10899.259602751037</c:v>
                </c:pt>
                <c:pt idx="66">
                  <c:v>11959.879645812254</c:v>
                </c:pt>
                <c:pt idx="67">
                  <c:v>13046.380120373471</c:v>
                </c:pt>
                <c:pt idx="68">
                  <c:v>14160.852374434686</c:v>
                </c:pt>
                <c:pt idx="69">
                  <c:v>15305.387755995906</c:v>
                </c:pt>
                <c:pt idx="70">
                  <c:v>34286.457245108264</c:v>
                </c:pt>
              </c:numCache>
            </c:numRef>
          </c:val>
          <c:smooth val="0"/>
        </c:ser>
        <c:ser>
          <c:idx val="1"/>
          <c:order val="1"/>
          <c:tx>
            <c:strRef>
              <c:f>'CW2 Sheet '!$AG$84</c:f>
              <c:strCache>
                <c:ptCount val="1"/>
                <c:pt idx="0">
                  <c:v>ABS Resistive Power (W) </c:v>
                </c:pt>
              </c:strCache>
            </c:strRef>
          </c:tx>
          <c:spPr>
            <a:ln w="28575" cap="rnd">
              <a:solidFill>
                <a:schemeClr val="accent2"/>
              </a:solidFill>
              <a:round/>
            </a:ln>
            <a:effectLst/>
          </c:spPr>
          <c:marker>
            <c:symbol val="none"/>
          </c:marker>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'!$AG$85:$AG$155</c:f>
              <c:numCache>
                <c:formatCode>General</c:formatCode>
                <c:ptCount val="71"/>
                <c:pt idx="0">
                  <c:v>0</c:v>
                </c:pt>
                <c:pt idx="1">
                  <c:v>17720.283674776885</c:v>
                </c:pt>
                <c:pt idx="2">
                  <c:v>51828.218524129697</c:v>
                </c:pt>
                <c:pt idx="3">
                  <c:v>85686.555596339444</c:v>
                </c:pt>
                <c:pt idx="4">
                  <c:v>139060.97827298066</c:v>
                </c:pt>
                <c:pt idx="5">
                  <c:v>4674.3001022293374</c:v>
                </c:pt>
                <c:pt idx="6">
                  <c:v>0</c:v>
                </c:pt>
                <c:pt idx="7">
                  <c:v>0</c:v>
                </c:pt>
                <c:pt idx="8">
                  <c:v>0</c:v>
                </c:pt>
                <c:pt idx="9">
                  <c:v>5347.525802914909</c:v>
                </c:pt>
                <c:pt idx="10">
                  <c:v>6981.2529900257286</c:v>
                </c:pt>
                <c:pt idx="11">
                  <c:v>8954.1597002070394</c:v>
                </c:pt>
                <c:pt idx="12">
                  <c:v>0</c:v>
                </c:pt>
                <c:pt idx="13">
                  <c:v>0</c:v>
                </c:pt>
                <c:pt idx="14">
                  <c:v>0</c:v>
                </c:pt>
                <c:pt idx="15">
                  <c:v>0</c:v>
                </c:pt>
                <c:pt idx="16">
                  <c:v>0</c:v>
                </c:pt>
                <c:pt idx="17">
                  <c:v>1172.236604944685</c:v>
                </c:pt>
                <c:pt idx="18">
                  <c:v>3444.5273050027504</c:v>
                </c:pt>
                <c:pt idx="19">
                  <c:v>0</c:v>
                </c:pt>
                <c:pt idx="20">
                  <c:v>0</c:v>
                </c:pt>
                <c:pt idx="21">
                  <c:v>0</c:v>
                </c:pt>
                <c:pt idx="22">
                  <c:v>0</c:v>
                </c:pt>
                <c:pt idx="23">
                  <c:v>0</c:v>
                </c:pt>
                <c:pt idx="24">
                  <c:v>0</c:v>
                </c:pt>
                <c:pt idx="25">
                  <c:v>0</c:v>
                </c:pt>
                <c:pt idx="26">
                  <c:v>0</c:v>
                </c:pt>
                <c:pt idx="27">
                  <c:v>0</c:v>
                </c:pt>
                <c:pt idx="28">
                  <c:v>0</c:v>
                </c:pt>
                <c:pt idx="29">
                  <c:v>852.53649349109162</c:v>
                </c:pt>
                <c:pt idx="30">
                  <c:v>10048.268562676782</c:v>
                </c:pt>
                <c:pt idx="31">
                  <c:v>37284.328204403471</c:v>
                </c:pt>
                <c:pt idx="32">
                  <c:v>64034.04345864182</c:v>
                </c:pt>
                <c:pt idx="33">
                  <c:v>27518.446387430289</c:v>
                </c:pt>
                <c:pt idx="34">
                  <c:v>1007.7229282233668</c:v>
                </c:pt>
                <c:pt idx="35">
                  <c:v>0</c:v>
                </c:pt>
                <c:pt idx="36">
                  <c:v>0</c:v>
                </c:pt>
                <c:pt idx="37">
                  <c:v>0</c:v>
                </c:pt>
                <c:pt idx="38">
                  <c:v>0</c:v>
                </c:pt>
                <c:pt idx="39">
                  <c:v>0</c:v>
                </c:pt>
                <c:pt idx="40">
                  <c:v>2252.1593305664069</c:v>
                </c:pt>
                <c:pt idx="41">
                  <c:v>12546.780302983036</c:v>
                </c:pt>
                <c:pt idx="42">
                  <c:v>49273.78115731867</c:v>
                </c:pt>
                <c:pt idx="43">
                  <c:v>67571.5656886293</c:v>
                </c:pt>
                <c:pt idx="44">
                  <c:v>102211.54801004915</c:v>
                </c:pt>
                <c:pt idx="45">
                  <c:v>55365.772378392416</c:v>
                </c:pt>
                <c:pt idx="46">
                  <c:v>0</c:v>
                </c:pt>
                <c:pt idx="47">
                  <c:v>0</c:v>
                </c:pt>
                <c:pt idx="48">
                  <c:v>0</c:v>
                </c:pt>
                <c:pt idx="49">
                  <c:v>329.78216720455481</c:v>
                </c:pt>
                <c:pt idx="50">
                  <c:v>109.32372087976664</c:v>
                </c:pt>
                <c:pt idx="51">
                  <c:v>602.99893281071877</c:v>
                </c:pt>
                <c:pt idx="52">
                  <c:v>1947.0604541988887</c:v>
                </c:pt>
                <c:pt idx="53">
                  <c:v>0</c:v>
                </c:pt>
                <c:pt idx="54">
                  <c:v>8675.4258059730018</c:v>
                </c:pt>
                <c:pt idx="55">
                  <c:v>11861.172753433983</c:v>
                </c:pt>
                <c:pt idx="56">
                  <c:v>17782.261224145121</c:v>
                </c:pt>
                <c:pt idx="57">
                  <c:v>29076.438072430698</c:v>
                </c:pt>
                <c:pt idx="58">
                  <c:v>41879.673136818354</c:v>
                </c:pt>
                <c:pt idx="59">
                  <c:v>49332.662220224855</c:v>
                </c:pt>
                <c:pt idx="60">
                  <c:v>0</c:v>
                </c:pt>
                <c:pt idx="61">
                  <c:v>0</c:v>
                </c:pt>
                <c:pt idx="62">
                  <c:v>0</c:v>
                </c:pt>
                <c:pt idx="63">
                  <c:v>0</c:v>
                </c:pt>
                <c:pt idx="64">
                  <c:v>0</c:v>
                </c:pt>
                <c:pt idx="65">
                  <c:v>10899.259602751037</c:v>
                </c:pt>
                <c:pt idx="66">
                  <c:v>11959.879645812254</c:v>
                </c:pt>
                <c:pt idx="67">
                  <c:v>13046.380120373471</c:v>
                </c:pt>
                <c:pt idx="68">
                  <c:v>14160.852374434686</c:v>
                </c:pt>
                <c:pt idx="69">
                  <c:v>15305.387755995906</c:v>
                </c:pt>
                <c:pt idx="70">
                  <c:v>34286.457245108264</c:v>
                </c:pt>
              </c:numCache>
            </c:numRef>
          </c:val>
          <c:smooth val="0"/>
        </c:ser>
        <c:dLbls>
          <c:showLegendKey val="0"/>
          <c:showVal val="0"/>
          <c:showCatName val="0"/>
          <c:showSerName val="0"/>
          <c:showPercent val="0"/>
          <c:showBubbleSize val="0"/>
        </c:dLbls>
        <c:smooth val="0"/>
        <c:axId val="465046928"/>
        <c:axId val="465041048"/>
      </c:lineChart>
      <c:catAx>
        <c:axId val="4650469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1048"/>
        <c:crosses val="autoZero"/>
        <c:auto val="1"/>
        <c:lblAlgn val="ctr"/>
        <c:lblOffset val="100"/>
        <c:tickLblSkip val="5"/>
        <c:tickMarkSkip val="1"/>
        <c:noMultiLvlLbl val="0"/>
      </c:catAx>
      <c:valAx>
        <c:axId val="465041048"/>
        <c:scaling>
          <c:orientation val="minMax"/>
          <c:min val="-5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6928"/>
        <c:crosses val="autoZero"/>
        <c:crossBetween val="midCat"/>
        <c:majorUnit val="25000"/>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Engine</a:t>
            </a:r>
            <a:r>
              <a:rPr lang="en-GB" baseline="0"/>
              <a:t> Power output (W)</a:t>
            </a:r>
            <a:endParaRPr lang="en-GB"/>
          </a:p>
        </c:rich>
      </c:tx>
      <c:layout>
        <c:manualLayout>
          <c:xMode val="edge"/>
          <c:yMode val="edge"/>
          <c:x val="0.33807633420822397"/>
          <c:y val="3.703703703703703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'CW2 Sheet '!$AK$85:$AK$155</c:f>
              <c:numCache>
                <c:formatCode>General</c:formatCode>
                <c:ptCount val="71"/>
                <c:pt idx="0">
                  <c:v>0</c:v>
                </c:pt>
                <c:pt idx="1">
                  <c:v>34000</c:v>
                </c:pt>
                <c:pt idx="2">
                  <c:v>34000</c:v>
                </c:pt>
                <c:pt idx="3">
                  <c:v>34000</c:v>
                </c:pt>
                <c:pt idx="4">
                  <c:v>34000</c:v>
                </c:pt>
                <c:pt idx="5">
                  <c:v>0</c:v>
                </c:pt>
                <c:pt idx="6">
                  <c:v>0</c:v>
                </c:pt>
                <c:pt idx="7">
                  <c:v>0</c:v>
                </c:pt>
                <c:pt idx="8">
                  <c:v>0</c:v>
                </c:pt>
                <c:pt idx="9">
                  <c:v>0</c:v>
                </c:pt>
                <c:pt idx="10">
                  <c:v>0</c:v>
                </c:pt>
                <c:pt idx="11">
                  <c:v>34000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34000</c:v>
                </c:pt>
                <c:pt idx="31">
                  <c:v>34000</c:v>
                </c:pt>
                <c:pt idx="32">
                  <c:v>34000</c:v>
                </c:pt>
                <c:pt idx="33">
                  <c:v>34000</c:v>
                </c:pt>
                <c:pt idx="34">
                  <c:v>0</c:v>
                </c:pt>
                <c:pt idx="35">
                  <c:v>0</c:v>
                </c:pt>
                <c:pt idx="36">
                  <c:v>0</c:v>
                </c:pt>
                <c:pt idx="37">
                  <c:v>0</c:v>
                </c:pt>
                <c:pt idx="38">
                  <c:v>0</c:v>
                </c:pt>
                <c:pt idx="39">
                  <c:v>0</c:v>
                </c:pt>
                <c:pt idx="40">
                  <c:v>34000</c:v>
                </c:pt>
                <c:pt idx="41">
                  <c:v>34000</c:v>
                </c:pt>
                <c:pt idx="42">
                  <c:v>34000</c:v>
                </c:pt>
                <c:pt idx="43">
                  <c:v>34000</c:v>
                </c:pt>
                <c:pt idx="44">
                  <c:v>34000</c:v>
                </c:pt>
                <c:pt idx="45">
                  <c:v>34000</c:v>
                </c:pt>
                <c:pt idx="46">
                  <c:v>0</c:v>
                </c:pt>
                <c:pt idx="47">
                  <c:v>0</c:v>
                </c:pt>
                <c:pt idx="48">
                  <c:v>0</c:v>
                </c:pt>
                <c:pt idx="49">
                  <c:v>0</c:v>
                </c:pt>
                <c:pt idx="50">
                  <c:v>0</c:v>
                </c:pt>
                <c:pt idx="51">
                  <c:v>0</c:v>
                </c:pt>
                <c:pt idx="52">
                  <c:v>0</c:v>
                </c:pt>
                <c:pt idx="53">
                  <c:v>0</c:v>
                </c:pt>
                <c:pt idx="54">
                  <c:v>34000</c:v>
                </c:pt>
                <c:pt idx="55">
                  <c:v>34000</c:v>
                </c:pt>
                <c:pt idx="56">
                  <c:v>34000</c:v>
                </c:pt>
                <c:pt idx="57">
                  <c:v>34000</c:v>
                </c:pt>
                <c:pt idx="58">
                  <c:v>34000</c:v>
                </c:pt>
                <c:pt idx="59">
                  <c:v>34000</c:v>
                </c:pt>
                <c:pt idx="60">
                  <c:v>0</c:v>
                </c:pt>
                <c:pt idx="61">
                  <c:v>0</c:v>
                </c:pt>
                <c:pt idx="62">
                  <c:v>0</c:v>
                </c:pt>
                <c:pt idx="63">
                  <c:v>0</c:v>
                </c:pt>
                <c:pt idx="64">
                  <c:v>0</c:v>
                </c:pt>
                <c:pt idx="65">
                  <c:v>0</c:v>
                </c:pt>
                <c:pt idx="66">
                  <c:v>0</c:v>
                </c:pt>
                <c:pt idx="67">
                  <c:v>34000</c:v>
                </c:pt>
                <c:pt idx="68">
                  <c:v>34000</c:v>
                </c:pt>
                <c:pt idx="69">
                  <c:v>0</c:v>
                </c:pt>
                <c:pt idx="70">
                  <c:v>34000</c:v>
                </c:pt>
              </c:numCache>
            </c:numRef>
          </c:val>
          <c:smooth val="0"/>
        </c:ser>
        <c:dLbls>
          <c:showLegendKey val="0"/>
          <c:showVal val="0"/>
          <c:showCatName val="0"/>
          <c:showSerName val="0"/>
          <c:showPercent val="0"/>
          <c:showBubbleSize val="0"/>
        </c:dLbls>
        <c:smooth val="0"/>
        <c:axId val="465050848"/>
        <c:axId val="465046144"/>
      </c:lineChart>
      <c:catAx>
        <c:axId val="46505084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6144"/>
        <c:crosses val="autoZero"/>
        <c:auto val="1"/>
        <c:lblAlgn val="ctr"/>
        <c:lblOffset val="100"/>
        <c:noMultiLvlLbl val="0"/>
      </c:catAx>
      <c:valAx>
        <c:axId val="4650461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084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PPS</a:t>
            </a:r>
            <a:r>
              <a:rPr lang="en-GB" baseline="0"/>
              <a:t> Battery Power (W)</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'CW2 Sheet '!$AN$85:$AN$155</c:f>
              <c:numCache>
                <c:formatCode>General</c:formatCode>
                <c:ptCount val="71"/>
                <c:pt idx="0">
                  <c:v>0</c:v>
                </c:pt>
                <c:pt idx="1">
                  <c:v>0</c:v>
                </c:pt>
                <c:pt idx="2">
                  <c:v>17828.218524129697</c:v>
                </c:pt>
                <c:pt idx="3">
                  <c:v>51686.555596339444</c:v>
                </c:pt>
                <c:pt idx="4">
                  <c:v>105060.97827298066</c:v>
                </c:pt>
                <c:pt idx="5">
                  <c:v>4674.3001022293374</c:v>
                </c:pt>
                <c:pt idx="6">
                  <c:v>0</c:v>
                </c:pt>
                <c:pt idx="7">
                  <c:v>0</c:v>
                </c:pt>
                <c:pt idx="8">
                  <c:v>0</c:v>
                </c:pt>
                <c:pt idx="9">
                  <c:v>5347.525802914909</c:v>
                </c:pt>
                <c:pt idx="10">
                  <c:v>6981.2529900257286</c:v>
                </c:pt>
                <c:pt idx="11">
                  <c:v>0</c:v>
                </c:pt>
                <c:pt idx="12">
                  <c:v>0</c:v>
                </c:pt>
                <c:pt idx="13">
                  <c:v>0</c:v>
                </c:pt>
                <c:pt idx="14">
                  <c:v>0</c:v>
                </c:pt>
                <c:pt idx="15">
                  <c:v>0</c:v>
                </c:pt>
                <c:pt idx="16">
                  <c:v>0</c:v>
                </c:pt>
                <c:pt idx="17">
                  <c:v>1172.236604944685</c:v>
                </c:pt>
                <c:pt idx="18">
                  <c:v>3444.5273050027504</c:v>
                </c:pt>
                <c:pt idx="19">
                  <c:v>0</c:v>
                </c:pt>
                <c:pt idx="20">
                  <c:v>0</c:v>
                </c:pt>
                <c:pt idx="21">
                  <c:v>0</c:v>
                </c:pt>
                <c:pt idx="22">
                  <c:v>0</c:v>
                </c:pt>
                <c:pt idx="23">
                  <c:v>0</c:v>
                </c:pt>
                <c:pt idx="24">
                  <c:v>0</c:v>
                </c:pt>
                <c:pt idx="25">
                  <c:v>0</c:v>
                </c:pt>
                <c:pt idx="26">
                  <c:v>0</c:v>
                </c:pt>
                <c:pt idx="27">
                  <c:v>0</c:v>
                </c:pt>
                <c:pt idx="28">
                  <c:v>0</c:v>
                </c:pt>
                <c:pt idx="29">
                  <c:v>852.53649349109162</c:v>
                </c:pt>
                <c:pt idx="30">
                  <c:v>0</c:v>
                </c:pt>
                <c:pt idx="31">
                  <c:v>3284.3282044034713</c:v>
                </c:pt>
                <c:pt idx="32">
                  <c:v>30034.04345864182</c:v>
                </c:pt>
                <c:pt idx="33">
                  <c:v>0</c:v>
                </c:pt>
                <c:pt idx="34">
                  <c:v>1007.7229282233668</c:v>
                </c:pt>
                <c:pt idx="35">
                  <c:v>0</c:v>
                </c:pt>
                <c:pt idx="36">
                  <c:v>0</c:v>
                </c:pt>
                <c:pt idx="37">
                  <c:v>0</c:v>
                </c:pt>
                <c:pt idx="38">
                  <c:v>0</c:v>
                </c:pt>
                <c:pt idx="39">
                  <c:v>0</c:v>
                </c:pt>
                <c:pt idx="40">
                  <c:v>0</c:v>
                </c:pt>
                <c:pt idx="41">
                  <c:v>0</c:v>
                </c:pt>
                <c:pt idx="42">
                  <c:v>15273.78115731867</c:v>
                </c:pt>
                <c:pt idx="43">
                  <c:v>33571.5656886293</c:v>
                </c:pt>
                <c:pt idx="44">
                  <c:v>68211.548010049155</c:v>
                </c:pt>
                <c:pt idx="45">
                  <c:v>21365.772378392416</c:v>
                </c:pt>
                <c:pt idx="46">
                  <c:v>0</c:v>
                </c:pt>
                <c:pt idx="47">
                  <c:v>0</c:v>
                </c:pt>
                <c:pt idx="48">
                  <c:v>0</c:v>
                </c:pt>
                <c:pt idx="49">
                  <c:v>329.78216720455481</c:v>
                </c:pt>
                <c:pt idx="50">
                  <c:v>109.32372087976664</c:v>
                </c:pt>
                <c:pt idx="51">
                  <c:v>602.99893281071877</c:v>
                </c:pt>
                <c:pt idx="52">
                  <c:v>1947.0604541988887</c:v>
                </c:pt>
                <c:pt idx="53">
                  <c:v>0</c:v>
                </c:pt>
                <c:pt idx="54">
                  <c:v>0</c:v>
                </c:pt>
                <c:pt idx="55">
                  <c:v>0</c:v>
                </c:pt>
                <c:pt idx="56">
                  <c:v>0</c:v>
                </c:pt>
                <c:pt idx="57">
                  <c:v>0</c:v>
                </c:pt>
                <c:pt idx="58">
                  <c:v>7879.6731368183537</c:v>
                </c:pt>
                <c:pt idx="59">
                  <c:v>15332.662220224855</c:v>
                </c:pt>
                <c:pt idx="60">
                  <c:v>0</c:v>
                </c:pt>
                <c:pt idx="61">
                  <c:v>0</c:v>
                </c:pt>
                <c:pt idx="62">
                  <c:v>0</c:v>
                </c:pt>
                <c:pt idx="63">
                  <c:v>0</c:v>
                </c:pt>
                <c:pt idx="64">
                  <c:v>0</c:v>
                </c:pt>
                <c:pt idx="65">
                  <c:v>10899.259602751037</c:v>
                </c:pt>
                <c:pt idx="66">
                  <c:v>11959.879645812254</c:v>
                </c:pt>
                <c:pt idx="67">
                  <c:v>0</c:v>
                </c:pt>
                <c:pt idx="68">
                  <c:v>0</c:v>
                </c:pt>
                <c:pt idx="69">
                  <c:v>15305.387755995906</c:v>
                </c:pt>
                <c:pt idx="70">
                  <c:v>286.45724510826403</c:v>
                </c:pt>
              </c:numCache>
            </c:numRef>
          </c:val>
          <c:smooth val="0"/>
        </c:ser>
        <c:dLbls>
          <c:showLegendKey val="0"/>
          <c:showVal val="0"/>
          <c:showCatName val="0"/>
          <c:showSerName val="0"/>
          <c:showPercent val="0"/>
          <c:showBubbleSize val="0"/>
        </c:dLbls>
        <c:smooth val="0"/>
        <c:axId val="465044184"/>
        <c:axId val="465049280"/>
      </c:lineChart>
      <c:catAx>
        <c:axId val="46504418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9280"/>
        <c:crosses val="autoZero"/>
        <c:auto val="1"/>
        <c:lblAlgn val="ctr"/>
        <c:lblOffset val="100"/>
        <c:noMultiLvlLbl val="0"/>
      </c:catAx>
      <c:valAx>
        <c:axId val="465049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41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SOC</a:t>
            </a:r>
            <a:r>
              <a:rPr lang="en-GB" baseline="0"/>
              <a:t> % and Voltage (V)</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'CW2 Sheet '!$AQ$84</c:f>
              <c:strCache>
                <c:ptCount val="1"/>
                <c:pt idx="0">
                  <c:v>SOC % (24V)</c:v>
                </c:pt>
              </c:strCache>
            </c:strRef>
          </c:tx>
          <c:spPr>
            <a:ln w="28575"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'!$AQ$85:$AQ$155</c:f>
              <c:numCache>
                <c:formatCode>General</c:formatCode>
                <c:ptCount val="71"/>
                <c:pt idx="0">
                  <c:v>100</c:v>
                </c:pt>
                <c:pt idx="1">
                  <c:v>108.74159498914871</c:v>
                </c:pt>
                <c:pt idx="2">
                  <c:v>93.746188664601803</c:v>
                </c:pt>
                <c:pt idx="3">
                  <c:v>80.704040314764441</c:v>
                </c:pt>
                <c:pt idx="4">
                  <c:v>54.193841509559185</c:v>
                </c:pt>
                <c:pt idx="5">
                  <c:v>50.262263644898596</c:v>
                </c:pt>
                <c:pt idx="6">
                  <c:v>53.722059260932973</c:v>
                </c:pt>
                <c:pt idx="7">
                  <c:v>60.774799255051768</c:v>
                </c:pt>
                <c:pt idx="8">
                  <c:v>66.198264256751131</c:v>
                </c:pt>
                <c:pt idx="9">
                  <c:v>61.700432791583893</c:v>
                </c:pt>
                <c:pt idx="10">
                  <c:v>55.828464984020563</c:v>
                </c:pt>
                <c:pt idx="11">
                  <c:v>69.277138639621754</c:v>
                </c:pt>
                <c:pt idx="12">
                  <c:v>69.952964147184616</c:v>
                </c:pt>
                <c:pt idx="13">
                  <c:v>76.760600297334918</c:v>
                </c:pt>
                <c:pt idx="14">
                  <c:v>81.624899716476378</c:v>
                </c:pt>
                <c:pt idx="15">
                  <c:v>83.302118763079605</c:v>
                </c:pt>
                <c:pt idx="16">
                  <c:v>83.476812779516024</c:v>
                </c:pt>
                <c:pt idx="17">
                  <c:v>82.490838540089811</c:v>
                </c:pt>
                <c:pt idx="18">
                  <c:v>79.593628902200081</c:v>
                </c:pt>
                <c:pt idx="19">
                  <c:v>81.168675270715653</c:v>
                </c:pt>
                <c:pt idx="20">
                  <c:v>81.573019347107817</c:v>
                </c:pt>
                <c:pt idx="21">
                  <c:v>81.594208798342876</c:v>
                </c:pt>
                <c:pt idx="22">
                  <c:v>81.63207967907789</c:v>
                </c:pt>
                <c:pt idx="23">
                  <c:v>81.684882255219904</c:v>
                </c:pt>
                <c:pt idx="24">
                  <c:v>81.759646453692454</c:v>
                </c:pt>
                <c:pt idx="25">
                  <c:v>82.460390986194227</c:v>
                </c:pt>
                <c:pt idx="26">
                  <c:v>83.384388814342529</c:v>
                </c:pt>
                <c:pt idx="27">
                  <c:v>84.323085676308068</c:v>
                </c:pt>
                <c:pt idx="28">
                  <c:v>85.275784738831632</c:v>
                </c:pt>
                <c:pt idx="29">
                  <c:v>84.558711907965176</c:v>
                </c:pt>
                <c:pt idx="30">
                  <c:v>97.419890280560111</c:v>
                </c:pt>
                <c:pt idx="31">
                  <c:v>94.657424930388288</c:v>
                </c:pt>
                <c:pt idx="32">
                  <c:v>69.395636456016916</c:v>
                </c:pt>
                <c:pt idx="33">
                  <c:v>72.875986816529831</c:v>
                </c:pt>
                <c:pt idx="34">
                  <c:v>72.028385876995728</c:v>
                </c:pt>
                <c:pt idx="35">
                  <c:v>82.087020149554917</c:v>
                </c:pt>
                <c:pt idx="36">
                  <c:v>95.551572163264652</c:v>
                </c:pt>
                <c:pt idx="37">
                  <c:v>106.07093211024011</c:v>
                </c:pt>
                <c:pt idx="38">
                  <c:v>111.40113837497661</c:v>
                </c:pt>
                <c:pt idx="39">
                  <c:v>111.526085201759</c:v>
                </c:pt>
                <c:pt idx="40">
                  <c:v>128.57348083003683</c:v>
                </c:pt>
                <c:pt idx="41">
                  <c:v>140.09305242809904</c:v>
                </c:pt>
                <c:pt idx="42">
                  <c:v>127.24619651503004</c:v>
                </c:pt>
                <c:pt idx="43">
                  <c:v>99.00897989291731</c:v>
                </c:pt>
                <c:pt idx="44">
                  <c:v>41.635895921984932</c:v>
                </c:pt>
                <c:pt idx="45">
                  <c:v>23.665034850356069</c:v>
                </c:pt>
                <c:pt idx="46">
                  <c:v>32.063227017145451</c:v>
                </c:pt>
                <c:pt idx="47">
                  <c:v>34.771958601993248</c:v>
                </c:pt>
                <c:pt idx="48">
                  <c:v>39.492039622420165</c:v>
                </c:pt>
                <c:pt idx="49">
                  <c:v>39.214658144897392</c:v>
                </c:pt>
                <c:pt idx="50">
                  <c:v>39.122705400808876</c:v>
                </c:pt>
                <c:pt idx="51">
                  <c:v>38.615519896069486</c:v>
                </c:pt>
                <c:pt idx="52">
                  <c:v>36.977837330666084</c:v>
                </c:pt>
                <c:pt idx="53">
                  <c:v>39.197571071686973</c:v>
                </c:pt>
                <c:pt idx="54">
                  <c:v>52.795914338506577</c:v>
                </c:pt>
                <c:pt idx="55">
                  <c:v>64.683631388241963</c:v>
                </c:pt>
                <c:pt idx="56">
                  <c:v>73.39194676586834</c:v>
                </c:pt>
                <c:pt idx="57">
                  <c:v>76.035714225631708</c:v>
                </c:pt>
                <c:pt idx="58">
                  <c:v>69.408080610344484</c:v>
                </c:pt>
                <c:pt idx="59">
                  <c:v>56.511699532329587</c:v>
                </c:pt>
                <c:pt idx="60">
                  <c:v>65.914688479456501</c:v>
                </c:pt>
                <c:pt idx="61">
                  <c:v>69.001033919526975</c:v>
                </c:pt>
                <c:pt idx="62">
                  <c:v>95.392404460755074</c:v>
                </c:pt>
                <c:pt idx="63">
                  <c:v>115.79648492681081</c:v>
                </c:pt>
                <c:pt idx="64">
                  <c:v>130.62304788001416</c:v>
                </c:pt>
                <c:pt idx="65">
                  <c:v>121.45562455284524</c:v>
                </c:pt>
                <c:pt idx="66">
                  <c:v>111.39610825070325</c:v>
                </c:pt>
                <c:pt idx="67">
                  <c:v>122.64741354897043</c:v>
                </c:pt>
                <c:pt idx="68">
                  <c:v>133.30028918931097</c:v>
                </c:pt>
                <c:pt idx="69">
                  <c:v>120.42684880348267</c:v>
                </c:pt>
                <c:pt idx="70">
                  <c:v>120.18590814083625</c:v>
                </c:pt>
              </c:numCache>
            </c:numRef>
          </c:val>
          <c:smooth val="0"/>
        </c:ser>
        <c:ser>
          <c:idx val="1"/>
          <c:order val="1"/>
          <c:tx>
            <c:strRef>
              <c:f>'CW2 Sheet '!$AP$84</c:f>
              <c:strCache>
                <c:ptCount val="1"/>
                <c:pt idx="0">
                  <c:v>SOC (24V)</c:v>
                </c:pt>
              </c:strCache>
            </c:strRef>
          </c:tx>
          <c:spPr>
            <a:ln w="28575" cap="rnd">
              <a:solidFill>
                <a:schemeClr val="accent2"/>
              </a:solidFill>
              <a:round/>
            </a:ln>
            <a:effectLst/>
          </c:spPr>
          <c:marker>
            <c:symbol val="none"/>
          </c:marker>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'!$AP$85:$AP$155</c:f>
              <c:numCache>
                <c:formatCode>General</c:formatCode>
                <c:ptCount val="71"/>
                <c:pt idx="0">
                  <c:v>24.8</c:v>
                </c:pt>
                <c:pt idx="1">
                  <c:v>26.967915557308878</c:v>
                </c:pt>
                <c:pt idx="2">
                  <c:v>23.249054788821248</c:v>
                </c:pt>
                <c:pt idx="3">
                  <c:v>20.014601998061583</c:v>
                </c:pt>
                <c:pt idx="4">
                  <c:v>13.440072694370677</c:v>
                </c:pt>
                <c:pt idx="5">
                  <c:v>12.465041383934853</c:v>
                </c:pt>
                <c:pt idx="6">
                  <c:v>13.323070696711378</c:v>
                </c:pt>
                <c:pt idx="7">
                  <c:v>15.07215021525284</c:v>
                </c:pt>
                <c:pt idx="8">
                  <c:v>16.41716953567428</c:v>
                </c:pt>
                <c:pt idx="9">
                  <c:v>15.301707332312805</c:v>
                </c:pt>
                <c:pt idx="10">
                  <c:v>13.8454593160371</c:v>
                </c:pt>
                <c:pt idx="11">
                  <c:v>17.180730382626194</c:v>
                </c:pt>
                <c:pt idx="12">
                  <c:v>17.348335108501786</c:v>
                </c:pt>
                <c:pt idx="13">
                  <c:v>19.036628873739062</c:v>
                </c:pt>
                <c:pt idx="14">
                  <c:v>20.24297512968614</c:v>
                </c:pt>
                <c:pt idx="15">
                  <c:v>20.658925453243743</c:v>
                </c:pt>
                <c:pt idx="16">
                  <c:v>20.702249569319974</c:v>
                </c:pt>
                <c:pt idx="17">
                  <c:v>20.457727957942275</c:v>
                </c:pt>
                <c:pt idx="18">
                  <c:v>19.739219967745623</c:v>
                </c:pt>
                <c:pt idx="19">
                  <c:v>20.129831467137482</c:v>
                </c:pt>
                <c:pt idx="20">
                  <c:v>20.230108798082739</c:v>
                </c:pt>
                <c:pt idx="21">
                  <c:v>20.235363781989033</c:v>
                </c:pt>
                <c:pt idx="22">
                  <c:v>20.244755760411319</c:v>
                </c:pt>
                <c:pt idx="23">
                  <c:v>20.257850799294538</c:v>
                </c:pt>
                <c:pt idx="24">
                  <c:v>20.276392320515729</c:v>
                </c:pt>
                <c:pt idx="25">
                  <c:v>20.450176964576169</c:v>
                </c:pt>
                <c:pt idx="26">
                  <c:v>20.679328425956946</c:v>
                </c:pt>
                <c:pt idx="27">
                  <c:v>20.912125247724404</c:v>
                </c:pt>
                <c:pt idx="28">
                  <c:v>21.148394615230245</c:v>
                </c:pt>
                <c:pt idx="29">
                  <c:v>20.970560553175364</c:v>
                </c:pt>
                <c:pt idx="30">
                  <c:v>24.160132789578906</c:v>
                </c:pt>
                <c:pt idx="31">
                  <c:v>23.475041382736297</c:v>
                </c:pt>
                <c:pt idx="32">
                  <c:v>17.210117841092195</c:v>
                </c:pt>
                <c:pt idx="33">
                  <c:v>18.073244730499397</c:v>
                </c:pt>
                <c:pt idx="34">
                  <c:v>17.863039697494941</c:v>
                </c:pt>
                <c:pt idx="35">
                  <c:v>20.35758099708962</c:v>
                </c:pt>
                <c:pt idx="36">
                  <c:v>23.696789896489634</c:v>
                </c:pt>
                <c:pt idx="37">
                  <c:v>26.305591163339546</c:v>
                </c:pt>
                <c:pt idx="38">
                  <c:v>27.627482316994197</c:v>
                </c:pt>
                <c:pt idx="39">
                  <c:v>27.658469130036231</c:v>
                </c:pt>
                <c:pt idx="40">
                  <c:v>31.886223245849138</c:v>
                </c:pt>
                <c:pt idx="41">
                  <c:v>34.743077002168562</c:v>
                </c:pt>
                <c:pt idx="42">
                  <c:v>31.557056735727453</c:v>
                </c:pt>
                <c:pt idx="43">
                  <c:v>24.554227013443494</c:v>
                </c:pt>
                <c:pt idx="44">
                  <c:v>10.325702188652263</c:v>
                </c:pt>
                <c:pt idx="45">
                  <c:v>5.8689286428883047</c:v>
                </c:pt>
                <c:pt idx="46">
                  <c:v>7.9516803002520717</c:v>
                </c:pt>
                <c:pt idx="47">
                  <c:v>8.6234457332943251</c:v>
                </c:pt>
                <c:pt idx="48">
                  <c:v>9.7940258263602011</c:v>
                </c:pt>
                <c:pt idx="49">
                  <c:v>9.7252352199345538</c:v>
                </c:pt>
                <c:pt idx="50">
                  <c:v>9.7024309394006014</c:v>
                </c:pt>
                <c:pt idx="51">
                  <c:v>9.5766489342252328</c:v>
                </c:pt>
                <c:pt idx="52">
                  <c:v>9.17050365800519</c:v>
                </c:pt>
                <c:pt idx="53">
                  <c:v>9.7209976257783683</c:v>
                </c:pt>
                <c:pt idx="54">
                  <c:v>13.093386755949631</c:v>
                </c:pt>
                <c:pt idx="55">
                  <c:v>16.041540584284007</c:v>
                </c:pt>
                <c:pt idx="56">
                  <c:v>18.201202797935348</c:v>
                </c:pt>
                <c:pt idx="57">
                  <c:v>18.856857127956662</c:v>
                </c:pt>
                <c:pt idx="58">
                  <c:v>17.213203991365432</c:v>
                </c:pt>
                <c:pt idx="59">
                  <c:v>14.014901484017736</c:v>
                </c:pt>
                <c:pt idx="60">
                  <c:v>16.346842742905213</c:v>
                </c:pt>
                <c:pt idx="61">
                  <c:v>17.11225641204269</c:v>
                </c:pt>
                <c:pt idx="62">
                  <c:v>23.657316306267258</c:v>
                </c:pt>
                <c:pt idx="63">
                  <c:v>28.717528261849079</c:v>
                </c:pt>
                <c:pt idx="64">
                  <c:v>32.39451587424351</c:v>
                </c:pt>
                <c:pt idx="65">
                  <c:v>30.120994889105621</c:v>
                </c:pt>
                <c:pt idx="66">
                  <c:v>27.626234846174405</c:v>
                </c:pt>
                <c:pt idx="67">
                  <c:v>30.416558560144672</c:v>
                </c:pt>
                <c:pt idx="68">
                  <c:v>33.058471718949122</c:v>
                </c:pt>
                <c:pt idx="69">
                  <c:v>29.865858503263702</c:v>
                </c:pt>
                <c:pt idx="70">
                  <c:v>29.806105218927392</c:v>
                </c:pt>
              </c:numCache>
            </c:numRef>
          </c:val>
          <c:smooth val="0"/>
        </c:ser>
        <c:dLbls>
          <c:showLegendKey val="0"/>
          <c:showVal val="0"/>
          <c:showCatName val="0"/>
          <c:showSerName val="0"/>
          <c:showPercent val="0"/>
          <c:showBubbleSize val="0"/>
        </c:dLbls>
        <c:smooth val="0"/>
        <c:axId val="465042616"/>
        <c:axId val="465051240"/>
      </c:lineChart>
      <c:catAx>
        <c:axId val="4650426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1240"/>
        <c:crosses val="autoZero"/>
        <c:auto val="1"/>
        <c:lblAlgn val="ctr"/>
        <c:lblOffset val="100"/>
        <c:noMultiLvlLbl val="0"/>
      </c:catAx>
      <c:valAx>
        <c:axId val="4650512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SOC</a:t>
                </a:r>
                <a:r>
                  <a:rPr lang="en-GB" baseline="0"/>
                  <a:t> Volts &amp; %</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2616"/>
        <c:crosses val="autoZero"/>
        <c:crossBetween val="between"/>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Speed</a:t>
            </a:r>
            <a:r>
              <a:rPr lang="en-GB" baseline="0"/>
              <a:t> and gradient of slope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'CW2 Sheet '!$O$84</c:f>
              <c:strCache>
                <c:ptCount val="1"/>
                <c:pt idx="0">
                  <c:v>Speed  (m/s)</c:v>
                </c:pt>
              </c:strCache>
            </c:strRef>
          </c:tx>
          <c:spPr>
            <a:ln w="28575" cap="rnd">
              <a:solidFill>
                <a:schemeClr val="accent1"/>
              </a:solidFill>
              <a:round/>
            </a:ln>
            <a:effectLst/>
          </c:spPr>
          <c:marker>
            <c:symbol val="none"/>
          </c:marker>
          <c:val>
            <c:numRef>
              <c:f>'CW2 Sheet '!$O$85:$O$155</c:f>
              <c:numCache>
                <c:formatCode>General</c:formatCode>
                <c:ptCount val="71"/>
                <c:pt idx="0">
                  <c:v>0</c:v>
                </c:pt>
                <c:pt idx="1">
                  <c:v>4.5</c:v>
                </c:pt>
                <c:pt idx="2">
                  <c:v>10.4</c:v>
                </c:pt>
                <c:pt idx="3">
                  <c:v>16.5</c:v>
                </c:pt>
                <c:pt idx="4">
                  <c:v>22.7</c:v>
                </c:pt>
                <c:pt idx="5">
                  <c:v>20.8</c:v>
                </c:pt>
                <c:pt idx="6">
                  <c:v>18.150000000000002</c:v>
                </c:pt>
                <c:pt idx="7">
                  <c:v>14.820000000000002</c:v>
                </c:pt>
                <c:pt idx="8">
                  <c:v>12.100000000000001</c:v>
                </c:pt>
                <c:pt idx="9">
                  <c:v>11.200000000000001</c:v>
                </c:pt>
                <c:pt idx="10">
                  <c:v>10.56</c:v>
                </c:pt>
                <c:pt idx="11">
                  <c:v>10.220000000000001</c:v>
                </c:pt>
                <c:pt idx="12">
                  <c:v>9.89</c:v>
                </c:pt>
                <c:pt idx="13">
                  <c:v>7.3900000000000006</c:v>
                </c:pt>
                <c:pt idx="14">
                  <c:v>4.49</c:v>
                </c:pt>
                <c:pt idx="15">
                  <c:v>1.4900000000000002</c:v>
                </c:pt>
                <c:pt idx="16">
                  <c:v>0.49000000000000021</c:v>
                </c:pt>
                <c:pt idx="17">
                  <c:v>1.4900000000000002</c:v>
                </c:pt>
                <c:pt idx="18">
                  <c:v>3.45</c:v>
                </c:pt>
                <c:pt idx="19">
                  <c:v>1.85</c:v>
                </c:pt>
                <c:pt idx="20">
                  <c:v>0.55000000000000004</c:v>
                </c:pt>
                <c:pt idx="21">
                  <c:v>5.0000000000000044E-2</c:v>
                </c:pt>
                <c:pt idx="22">
                  <c:v>0.25100000000000006</c:v>
                </c:pt>
                <c:pt idx="23">
                  <c:v>0.621</c:v>
                </c:pt>
                <c:pt idx="24">
                  <c:v>1.0209999999999999</c:v>
                </c:pt>
                <c:pt idx="25">
                  <c:v>1.4209999999999998</c:v>
                </c:pt>
                <c:pt idx="26">
                  <c:v>1.4439999999999997</c:v>
                </c:pt>
                <c:pt idx="27">
                  <c:v>1.4669999999999996</c:v>
                </c:pt>
                <c:pt idx="28">
                  <c:v>1.4789999999999996</c:v>
                </c:pt>
                <c:pt idx="29">
                  <c:v>1.4849999999999997</c:v>
                </c:pt>
                <c:pt idx="30">
                  <c:v>4.085</c:v>
                </c:pt>
                <c:pt idx="31">
                  <c:v>8.9849999999999994</c:v>
                </c:pt>
                <c:pt idx="32">
                  <c:v>14.285</c:v>
                </c:pt>
                <c:pt idx="33">
                  <c:v>15.785</c:v>
                </c:pt>
                <c:pt idx="34">
                  <c:v>14.984999999999999</c:v>
                </c:pt>
                <c:pt idx="35">
                  <c:v>13.475</c:v>
                </c:pt>
                <c:pt idx="36">
                  <c:v>10.675000000000001</c:v>
                </c:pt>
                <c:pt idx="37">
                  <c:v>7.5750000000000011</c:v>
                </c:pt>
                <c:pt idx="38">
                  <c:v>5.5750000000000011</c:v>
                </c:pt>
                <c:pt idx="39">
                  <c:v>5.9750000000000014</c:v>
                </c:pt>
                <c:pt idx="40">
                  <c:v>6.8750000000000018</c:v>
                </c:pt>
                <c:pt idx="41">
                  <c:v>8.1750000000000025</c:v>
                </c:pt>
                <c:pt idx="42">
                  <c:v>12.675000000000002</c:v>
                </c:pt>
                <c:pt idx="43">
                  <c:v>17.175000000000004</c:v>
                </c:pt>
                <c:pt idx="44">
                  <c:v>21.475000000000005</c:v>
                </c:pt>
                <c:pt idx="45">
                  <c:v>22.975000000000005</c:v>
                </c:pt>
                <c:pt idx="46">
                  <c:v>20.275000000000006</c:v>
                </c:pt>
                <c:pt idx="47">
                  <c:v>17.375000000000007</c:v>
                </c:pt>
                <c:pt idx="48">
                  <c:v>14.475000000000007</c:v>
                </c:pt>
                <c:pt idx="49">
                  <c:v>12.475000000000007</c:v>
                </c:pt>
                <c:pt idx="50">
                  <c:v>10.475000000000007</c:v>
                </c:pt>
                <c:pt idx="51">
                  <c:v>8.5750000000000064</c:v>
                </c:pt>
                <c:pt idx="52">
                  <c:v>6.9750000000000068</c:v>
                </c:pt>
                <c:pt idx="53">
                  <c:v>5.4750000000000068</c:v>
                </c:pt>
                <c:pt idx="54">
                  <c:v>6.7750000000000066</c:v>
                </c:pt>
                <c:pt idx="55">
                  <c:v>8.2750000000000057</c:v>
                </c:pt>
                <c:pt idx="56">
                  <c:v>10.675000000000006</c:v>
                </c:pt>
                <c:pt idx="57">
                  <c:v>13.675000000000006</c:v>
                </c:pt>
                <c:pt idx="58">
                  <c:v>17.075000000000006</c:v>
                </c:pt>
                <c:pt idx="59">
                  <c:v>20.675000000000008</c:v>
                </c:pt>
                <c:pt idx="60">
                  <c:v>20.675000000000008</c:v>
                </c:pt>
                <c:pt idx="61">
                  <c:v>20.675000000000008</c:v>
                </c:pt>
                <c:pt idx="62">
                  <c:v>17.175000000000008</c:v>
                </c:pt>
                <c:pt idx="63">
                  <c:v>13.675000000000008</c:v>
                </c:pt>
                <c:pt idx="64">
                  <c:v>10.375000000000007</c:v>
                </c:pt>
                <c:pt idx="65">
                  <c:v>11.375000000000007</c:v>
                </c:pt>
                <c:pt idx="66">
                  <c:v>12.375000000000007</c:v>
                </c:pt>
                <c:pt idx="67">
                  <c:v>13.375000000000007</c:v>
                </c:pt>
                <c:pt idx="68">
                  <c:v>14.375000000000007</c:v>
                </c:pt>
                <c:pt idx="69">
                  <c:v>15.375000000000007</c:v>
                </c:pt>
                <c:pt idx="70">
                  <c:v>16.375000000000007</c:v>
                </c:pt>
              </c:numCache>
            </c:numRef>
          </c:val>
          <c:smooth val="0"/>
        </c:ser>
        <c:dLbls>
          <c:showLegendKey val="0"/>
          <c:showVal val="0"/>
          <c:showCatName val="0"/>
          <c:showSerName val="0"/>
          <c:showPercent val="0"/>
          <c:showBubbleSize val="0"/>
        </c:dLbls>
        <c:marker val="1"/>
        <c:smooth val="0"/>
        <c:axId val="465046536"/>
        <c:axId val="465047712"/>
      </c:lineChart>
      <c:lineChart>
        <c:grouping val="standard"/>
        <c:varyColors val="0"/>
        <c:ser>
          <c:idx val="1"/>
          <c:order val="1"/>
          <c:tx>
            <c:strRef>
              <c:f>'CW2 Sheet '!$V$84</c:f>
              <c:strCache>
                <c:ptCount val="1"/>
                <c:pt idx="0">
                  <c:v>Gradient (°)</c:v>
                </c:pt>
              </c:strCache>
            </c:strRef>
          </c:tx>
          <c:spPr>
            <a:ln w="28575" cap="rnd">
              <a:solidFill>
                <a:schemeClr val="accent2"/>
              </a:solidFill>
              <a:round/>
            </a:ln>
            <a:effectLst/>
          </c:spPr>
          <c:marker>
            <c:symbol val="none"/>
          </c:marker>
          <c:val>
            <c:numRef>
              <c:f>'CW2 Sheet '!$V$85:$V$155</c:f>
              <c:numCache>
                <c:formatCode>0.00</c:formatCode>
                <c:ptCount val="71"/>
                <c:pt idx="0">
                  <c:v>0</c:v>
                </c:pt>
                <c:pt idx="1">
                  <c:v>0.79999999999999993</c:v>
                </c:pt>
                <c:pt idx="2">
                  <c:v>0.8</c:v>
                </c:pt>
                <c:pt idx="3">
                  <c:v>0.8600000000000001</c:v>
                </c:pt>
                <c:pt idx="4">
                  <c:v>7.1272878819970913</c:v>
                </c:pt>
                <c:pt idx="5">
                  <c:v>7.1272878819970913</c:v>
                </c:pt>
                <c:pt idx="6">
                  <c:v>7.1272878819970913</c:v>
                </c:pt>
                <c:pt idx="7">
                  <c:v>7.1272878819970913</c:v>
                </c:pt>
                <c:pt idx="8">
                  <c:v>4.1706479118615389</c:v>
                </c:pt>
                <c:pt idx="9">
                  <c:v>4.1706479118615389</c:v>
                </c:pt>
                <c:pt idx="10">
                  <c:v>4.1706479118615389</c:v>
                </c:pt>
                <c:pt idx="11">
                  <c:v>4.1706479118615389</c:v>
                </c:pt>
                <c:pt idx="12">
                  <c:v>-3.9592874494513626</c:v>
                </c:pt>
                <c:pt idx="13">
                  <c:v>-3.9592874494513626</c:v>
                </c:pt>
                <c:pt idx="14">
                  <c:v>-3.9592874494513626</c:v>
                </c:pt>
                <c:pt idx="15">
                  <c:v>-3.9592874494513626</c:v>
                </c:pt>
                <c:pt idx="16">
                  <c:v>-4.0960437581523328</c:v>
                </c:pt>
                <c:pt idx="17">
                  <c:v>-4.0960437581523328</c:v>
                </c:pt>
                <c:pt idx="18">
                  <c:v>-8.0478462473115151</c:v>
                </c:pt>
                <c:pt idx="19">
                  <c:v>-8.0478462473115151</c:v>
                </c:pt>
                <c:pt idx="20">
                  <c:v>-8.0478462473115151</c:v>
                </c:pt>
                <c:pt idx="21">
                  <c:v>-8.0478462473115151</c:v>
                </c:pt>
                <c:pt idx="22">
                  <c:v>-8.0478462473115151</c:v>
                </c:pt>
                <c:pt idx="23">
                  <c:v>-8.0478462473115151</c:v>
                </c:pt>
                <c:pt idx="24">
                  <c:v>-8.0478462473115151</c:v>
                </c:pt>
                <c:pt idx="25">
                  <c:v>-14.477512185929925</c:v>
                </c:pt>
                <c:pt idx="26">
                  <c:v>-14.477512185929925</c:v>
                </c:pt>
                <c:pt idx="27">
                  <c:v>-14.477512185929925</c:v>
                </c:pt>
                <c:pt idx="28">
                  <c:v>-14.477512185929925</c:v>
                </c:pt>
                <c:pt idx="29">
                  <c:v>0</c:v>
                </c:pt>
                <c:pt idx="30">
                  <c:v>0</c:v>
                </c:pt>
                <c:pt idx="31">
                  <c:v>0</c:v>
                </c:pt>
                <c:pt idx="32">
                  <c:v>0</c:v>
                </c:pt>
                <c:pt idx="33">
                  <c:v>0</c:v>
                </c:pt>
                <c:pt idx="34">
                  <c:v>0</c:v>
                </c:pt>
                <c:pt idx="35">
                  <c:v>-7.4947174539266861</c:v>
                </c:pt>
                <c:pt idx="36">
                  <c:v>-7.4947174539266861</c:v>
                </c:pt>
                <c:pt idx="37">
                  <c:v>-7.4947174539266861</c:v>
                </c:pt>
                <c:pt idx="38">
                  <c:v>-7.3540352103988331</c:v>
                </c:pt>
                <c:pt idx="39">
                  <c:v>-7.3540352103988331</c:v>
                </c:pt>
                <c:pt idx="40">
                  <c:v>-7.3540352103988331</c:v>
                </c:pt>
                <c:pt idx="41">
                  <c:v>0</c:v>
                </c:pt>
                <c:pt idx="42">
                  <c:v>0</c:v>
                </c:pt>
                <c:pt idx="43">
                  <c:v>0</c:v>
                </c:pt>
                <c:pt idx="44">
                  <c:v>7.3699999999999983</c:v>
                </c:pt>
                <c:pt idx="45">
                  <c:v>9.2100000000000009</c:v>
                </c:pt>
                <c:pt idx="46">
                  <c:v>3.8200000000000003</c:v>
                </c:pt>
                <c:pt idx="47">
                  <c:v>9.2068962213459002</c:v>
                </c:pt>
                <c:pt idx="48">
                  <c:v>6.89</c:v>
                </c:pt>
                <c:pt idx="49">
                  <c:v>6.89</c:v>
                </c:pt>
                <c:pt idx="50">
                  <c:v>6.89</c:v>
                </c:pt>
                <c:pt idx="51">
                  <c:v>6.89</c:v>
                </c:pt>
                <c:pt idx="52">
                  <c:v>6.89</c:v>
                </c:pt>
                <c:pt idx="53">
                  <c:v>-1.9899999999999998</c:v>
                </c:pt>
                <c:pt idx="54">
                  <c:v>-1.9899999999999998</c:v>
                </c:pt>
                <c:pt idx="55">
                  <c:v>-1.9899999999999998</c:v>
                </c:pt>
                <c:pt idx="56">
                  <c:v>-5.5100000000000007</c:v>
                </c:pt>
                <c:pt idx="57">
                  <c:v>-5.51</c:v>
                </c:pt>
                <c:pt idx="58">
                  <c:v>-5.51</c:v>
                </c:pt>
                <c:pt idx="59">
                  <c:v>-7.6099999999999985</c:v>
                </c:pt>
                <c:pt idx="60">
                  <c:v>-8.0500000000000007</c:v>
                </c:pt>
                <c:pt idx="61">
                  <c:v>-8.0500000000000007</c:v>
                </c:pt>
                <c:pt idx="62">
                  <c:v>-8.0500000000000007</c:v>
                </c:pt>
                <c:pt idx="63">
                  <c:v>-7.07</c:v>
                </c:pt>
                <c:pt idx="64">
                  <c:v>-7.07</c:v>
                </c:pt>
                <c:pt idx="65">
                  <c:v>-3.07</c:v>
                </c:pt>
                <c:pt idx="66">
                  <c:v>-3.0699999999999994</c:v>
                </c:pt>
                <c:pt idx="67">
                  <c:v>-3.07</c:v>
                </c:pt>
                <c:pt idx="68">
                  <c:v>-3.07</c:v>
                </c:pt>
                <c:pt idx="69">
                  <c:v>-3.07</c:v>
                </c:pt>
                <c:pt idx="70">
                  <c:v>5.7</c:v>
                </c:pt>
              </c:numCache>
            </c:numRef>
          </c:val>
          <c:smooth val="0"/>
        </c:ser>
        <c:dLbls>
          <c:showLegendKey val="0"/>
          <c:showVal val="0"/>
          <c:showCatName val="0"/>
          <c:showSerName val="0"/>
          <c:showPercent val="0"/>
          <c:showBubbleSize val="0"/>
        </c:dLbls>
        <c:marker val="1"/>
        <c:smooth val="0"/>
        <c:axId val="465043008"/>
        <c:axId val="465042224"/>
      </c:lineChart>
      <c:catAx>
        <c:axId val="46504653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7712"/>
        <c:crosses val="autoZero"/>
        <c:auto val="1"/>
        <c:lblAlgn val="ctr"/>
        <c:lblOffset val="100"/>
        <c:noMultiLvlLbl val="0"/>
      </c:catAx>
      <c:valAx>
        <c:axId val="4650477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6536"/>
        <c:crosses val="autoZero"/>
        <c:crossBetween val="between"/>
      </c:valAx>
      <c:valAx>
        <c:axId val="465042224"/>
        <c:scaling>
          <c:orientation val="minMax"/>
        </c:scaling>
        <c:delete val="0"/>
        <c:axPos val="r"/>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3008"/>
        <c:crosses val="max"/>
        <c:crossBetween val="between"/>
      </c:valAx>
      <c:catAx>
        <c:axId val="465043008"/>
        <c:scaling>
          <c:orientation val="minMax"/>
        </c:scaling>
        <c:delete val="1"/>
        <c:axPos val="b"/>
        <c:majorTickMark val="out"/>
        <c:minorTickMark val="none"/>
        <c:tickLblPos val="nextTo"/>
        <c:crossAx val="465042224"/>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Price</a:t>
            </a:r>
            <a:r>
              <a:rPr lang="en-GB" baseline="0"/>
              <a:t> of new components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'CW2 Sheet '!$AY$18</c:f>
              <c:strCache>
                <c:ptCount val="1"/>
                <c:pt idx="0">
                  <c:v>Price (£)</c:v>
                </c:pt>
              </c:strCache>
            </c:strRef>
          </c:tx>
          <c:dPt>
            <c:idx val="0"/>
            <c:bubble3D val="0"/>
            <c:spPr>
              <a:solidFill>
                <a:schemeClr val="accent1"/>
              </a:solidFill>
              <a:ln w="19050">
                <a:solidFill>
                  <a:schemeClr val="lt1"/>
                </a:solidFill>
              </a:ln>
              <a:effectLst/>
            </c:spPr>
          </c:dPt>
          <c:dPt>
            <c:idx val="1"/>
            <c:bubble3D val="0"/>
            <c:spPr>
              <a:solidFill>
                <a:schemeClr val="accent2"/>
              </a:solidFill>
              <a:ln w="19050">
                <a:solidFill>
                  <a:schemeClr val="lt1"/>
                </a:solidFill>
              </a:ln>
              <a:effectLst/>
            </c:spPr>
          </c:dPt>
          <c:dPt>
            <c:idx val="2"/>
            <c:bubble3D val="0"/>
            <c:spPr>
              <a:solidFill>
                <a:schemeClr val="accent3"/>
              </a:solidFill>
              <a:ln w="19050">
                <a:solidFill>
                  <a:schemeClr val="lt1"/>
                </a:solidFill>
              </a:ln>
              <a:effectLst/>
            </c:spPr>
          </c:dPt>
          <c:dPt>
            <c:idx val="3"/>
            <c:bubble3D val="0"/>
            <c:spPr>
              <a:solidFill>
                <a:schemeClr val="accent4"/>
              </a:solidFill>
              <a:ln w="19050">
                <a:solidFill>
                  <a:schemeClr val="lt1"/>
                </a:solidFill>
              </a:ln>
              <a:effectLst/>
            </c:spPr>
          </c:dPt>
          <c:dPt>
            <c:idx val="4"/>
            <c:bubble3D val="0"/>
            <c:spPr>
              <a:solidFill>
                <a:schemeClr val="accent5"/>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'CW2 Sheet '!$AW$19:$AW$23</c:f>
              <c:strCache>
                <c:ptCount val="5"/>
                <c:pt idx="0">
                  <c:v>Motor</c:v>
                </c:pt>
                <c:pt idx="1">
                  <c:v>Motor controller </c:v>
                </c:pt>
                <c:pt idx="2">
                  <c:v>Converter</c:v>
                </c:pt>
                <c:pt idx="3">
                  <c:v>Batteries </c:v>
                </c:pt>
                <c:pt idx="4">
                  <c:v>Replacement engine </c:v>
                </c:pt>
              </c:strCache>
            </c:strRef>
          </c:cat>
          <c:val>
            <c:numRef>
              <c:f>'CW2 Sheet '!$AY$19:$AY$23</c:f>
              <c:numCache>
                <c:formatCode>#,##0</c:formatCode>
                <c:ptCount val="5"/>
                <c:pt idx="0">
                  <c:v>16000</c:v>
                </c:pt>
                <c:pt idx="1">
                  <c:v>8000</c:v>
                </c:pt>
                <c:pt idx="2" formatCode="General">
                  <c:v>200</c:v>
                </c:pt>
                <c:pt idx="3" formatCode="General">
                  <c:v>1900</c:v>
                </c:pt>
                <c:pt idx="4" formatCode="General">
                  <c:v>400</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Weight of</a:t>
            </a:r>
            <a:r>
              <a:rPr lang="en-US" baseline="0"/>
              <a:t> new components</a:t>
            </a:r>
            <a:r>
              <a:rPr lang="en-US"/>
              <a:t> (Kg)</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'CW2 Sheet '!$BA$18</c:f>
              <c:strCache>
                <c:ptCount val="1"/>
                <c:pt idx="0">
                  <c:v>weight (Kg)</c:v>
                </c:pt>
              </c:strCache>
            </c:strRef>
          </c:tx>
          <c:dPt>
            <c:idx val="0"/>
            <c:bubble3D val="0"/>
            <c:spPr>
              <a:solidFill>
                <a:schemeClr val="accent1"/>
              </a:solidFill>
              <a:ln w="19050">
                <a:solidFill>
                  <a:schemeClr val="lt1"/>
                </a:solidFill>
              </a:ln>
              <a:effectLst/>
            </c:spPr>
          </c:dPt>
          <c:dPt>
            <c:idx val="1"/>
            <c:bubble3D val="0"/>
            <c:spPr>
              <a:solidFill>
                <a:schemeClr val="accent2"/>
              </a:solidFill>
              <a:ln w="19050">
                <a:solidFill>
                  <a:schemeClr val="lt1"/>
                </a:solidFill>
              </a:ln>
              <a:effectLst/>
            </c:spPr>
          </c:dPt>
          <c:dPt>
            <c:idx val="2"/>
            <c:bubble3D val="0"/>
            <c:spPr>
              <a:solidFill>
                <a:schemeClr val="accent3"/>
              </a:solidFill>
              <a:ln w="19050">
                <a:solidFill>
                  <a:schemeClr val="lt1"/>
                </a:solidFill>
              </a:ln>
              <a:effectLst/>
            </c:spPr>
          </c:dPt>
          <c:dPt>
            <c:idx val="3"/>
            <c:bubble3D val="0"/>
            <c:spPr>
              <a:solidFill>
                <a:schemeClr val="accent4"/>
              </a:solidFill>
              <a:ln w="19050">
                <a:solidFill>
                  <a:schemeClr val="lt1"/>
                </a:solidFill>
              </a:ln>
              <a:effectLst/>
            </c:spPr>
          </c:dPt>
          <c:dPt>
            <c:idx val="4"/>
            <c:bubble3D val="0"/>
            <c:spPr>
              <a:solidFill>
                <a:schemeClr val="accent5"/>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'CW2 Sheet '!$AW$19:$AW$23</c:f>
              <c:strCache>
                <c:ptCount val="5"/>
                <c:pt idx="0">
                  <c:v>Motor</c:v>
                </c:pt>
                <c:pt idx="1">
                  <c:v>Motor controller </c:v>
                </c:pt>
                <c:pt idx="2">
                  <c:v>Converter</c:v>
                </c:pt>
                <c:pt idx="3">
                  <c:v>Batteries </c:v>
                </c:pt>
                <c:pt idx="4">
                  <c:v>Replacement engine </c:v>
                </c:pt>
              </c:strCache>
            </c:strRef>
          </c:cat>
          <c:val>
            <c:numRef>
              <c:f>'CW2 Sheet '!$BA$19:$BA$23</c:f>
              <c:numCache>
                <c:formatCode>General</c:formatCode>
                <c:ptCount val="5"/>
                <c:pt idx="0">
                  <c:v>68.400000000000006</c:v>
                </c:pt>
                <c:pt idx="1">
                  <c:v>5.7</c:v>
                </c:pt>
                <c:pt idx="2">
                  <c:v>2.5</c:v>
                </c:pt>
                <c:pt idx="3">
                  <c:v>150</c:v>
                </c:pt>
                <c:pt idx="4">
                  <c:v>52</c:v>
                </c:pt>
              </c:numCache>
            </c:numRef>
          </c:val>
        </c:ser>
        <c:dLbls>
          <c:showLegendKey val="0"/>
          <c:showVal val="0"/>
          <c:showCatName val="0"/>
          <c:showSerName val="0"/>
          <c:showPercent val="0"/>
          <c:showBubbleSize val="0"/>
          <c:showLeaderLines val="1"/>
        </c:dLbls>
        <c:firstSliceAng val="0"/>
      </c:pieChart>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Thermostats</a:t>
            </a:r>
            <a:r>
              <a:rPr lang="en-GB" baseline="0"/>
              <a:t> Engine Control and PPS SOC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'CW2 Sheet '!$AJ$84</c:f>
              <c:strCache>
                <c:ptCount val="1"/>
                <c:pt idx="0">
                  <c:v>Engine on </c:v>
                </c:pt>
              </c:strCache>
            </c:strRef>
          </c:tx>
          <c:spPr>
            <a:solidFill>
              <a:schemeClr val="accent1"/>
            </a:solidFill>
            <a:ln>
              <a:noFill/>
            </a:ln>
            <a:effectLst/>
          </c:spPr>
          <c:invertIfNegative val="0"/>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'!$AJ$85:$AJ$155</c:f>
              <c:numCache>
                <c:formatCode>General</c:formatCode>
                <c:ptCount val="71"/>
                <c:pt idx="0">
                  <c:v>0</c:v>
                </c:pt>
                <c:pt idx="1">
                  <c:v>1</c:v>
                </c:pt>
                <c:pt idx="2">
                  <c:v>1</c:v>
                </c:pt>
                <c:pt idx="3">
                  <c:v>1</c:v>
                </c:pt>
                <c:pt idx="4">
                  <c:v>1</c:v>
                </c:pt>
                <c:pt idx="5">
                  <c:v>0</c:v>
                </c:pt>
                <c:pt idx="6">
                  <c:v>0</c:v>
                </c:pt>
                <c:pt idx="7">
                  <c:v>0</c:v>
                </c:pt>
                <c:pt idx="8">
                  <c:v>0</c:v>
                </c:pt>
                <c:pt idx="9">
                  <c:v>0</c:v>
                </c:pt>
                <c:pt idx="10">
                  <c:v>0</c:v>
                </c:pt>
                <c:pt idx="11">
                  <c:v>1</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1</c:v>
                </c:pt>
                <c:pt idx="31">
                  <c:v>1</c:v>
                </c:pt>
                <c:pt idx="32">
                  <c:v>1</c:v>
                </c:pt>
                <c:pt idx="33">
                  <c:v>1</c:v>
                </c:pt>
                <c:pt idx="34">
                  <c:v>0</c:v>
                </c:pt>
                <c:pt idx="35">
                  <c:v>0</c:v>
                </c:pt>
                <c:pt idx="36">
                  <c:v>0</c:v>
                </c:pt>
                <c:pt idx="37">
                  <c:v>0</c:v>
                </c:pt>
                <c:pt idx="38">
                  <c:v>0</c:v>
                </c:pt>
                <c:pt idx="39">
                  <c:v>0</c:v>
                </c:pt>
                <c:pt idx="40">
                  <c:v>1</c:v>
                </c:pt>
                <c:pt idx="41">
                  <c:v>1</c:v>
                </c:pt>
                <c:pt idx="42">
                  <c:v>1</c:v>
                </c:pt>
                <c:pt idx="43">
                  <c:v>1</c:v>
                </c:pt>
                <c:pt idx="44">
                  <c:v>1</c:v>
                </c:pt>
                <c:pt idx="45">
                  <c:v>1</c:v>
                </c:pt>
                <c:pt idx="46">
                  <c:v>0</c:v>
                </c:pt>
                <c:pt idx="47">
                  <c:v>0</c:v>
                </c:pt>
                <c:pt idx="48">
                  <c:v>0</c:v>
                </c:pt>
                <c:pt idx="49">
                  <c:v>0</c:v>
                </c:pt>
                <c:pt idx="50">
                  <c:v>0</c:v>
                </c:pt>
                <c:pt idx="51">
                  <c:v>0</c:v>
                </c:pt>
                <c:pt idx="52">
                  <c:v>0</c:v>
                </c:pt>
                <c:pt idx="53">
                  <c:v>0</c:v>
                </c:pt>
                <c:pt idx="54">
                  <c:v>1</c:v>
                </c:pt>
                <c:pt idx="55">
                  <c:v>1</c:v>
                </c:pt>
                <c:pt idx="56">
                  <c:v>1</c:v>
                </c:pt>
                <c:pt idx="57">
                  <c:v>1</c:v>
                </c:pt>
                <c:pt idx="58">
                  <c:v>1</c:v>
                </c:pt>
                <c:pt idx="59">
                  <c:v>1</c:v>
                </c:pt>
                <c:pt idx="60">
                  <c:v>0</c:v>
                </c:pt>
                <c:pt idx="61">
                  <c:v>0</c:v>
                </c:pt>
                <c:pt idx="62">
                  <c:v>0</c:v>
                </c:pt>
                <c:pt idx="63">
                  <c:v>0</c:v>
                </c:pt>
                <c:pt idx="64">
                  <c:v>0</c:v>
                </c:pt>
                <c:pt idx="65">
                  <c:v>1</c:v>
                </c:pt>
                <c:pt idx="66">
                  <c:v>1</c:v>
                </c:pt>
                <c:pt idx="67">
                  <c:v>1</c:v>
                </c:pt>
                <c:pt idx="68">
                  <c:v>1</c:v>
                </c:pt>
                <c:pt idx="69">
                  <c:v>1</c:v>
                </c:pt>
                <c:pt idx="70">
                  <c:v>1</c:v>
                </c:pt>
              </c:numCache>
            </c:numRef>
          </c:val>
        </c:ser>
        <c:dLbls>
          <c:showLegendKey val="0"/>
          <c:showVal val="0"/>
          <c:showCatName val="0"/>
          <c:showSerName val="0"/>
          <c:showPercent val="0"/>
          <c:showBubbleSize val="0"/>
        </c:dLbls>
        <c:gapWidth val="219"/>
        <c:overlap val="100"/>
        <c:axId val="473814488"/>
        <c:axId val="473810960"/>
      </c:barChart>
      <c:lineChart>
        <c:grouping val="standard"/>
        <c:varyColors val="0"/>
        <c:ser>
          <c:idx val="1"/>
          <c:order val="1"/>
          <c:tx>
            <c:strRef>
              <c:f>'CW2 Sheet '!$AQ$84</c:f>
              <c:strCache>
                <c:ptCount val="1"/>
                <c:pt idx="0">
                  <c:v>SOC % (24V)</c:v>
                </c:pt>
              </c:strCache>
            </c:strRef>
          </c:tx>
          <c:spPr>
            <a:ln w="28575" cap="rnd">
              <a:solidFill>
                <a:schemeClr val="accent2"/>
              </a:solidFill>
              <a:round/>
            </a:ln>
            <a:effectLst/>
          </c:spPr>
          <c:marker>
            <c:symbol val="none"/>
          </c:marker>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'!$AQ$85:$AQ$155</c:f>
              <c:numCache>
                <c:formatCode>General</c:formatCode>
                <c:ptCount val="71"/>
                <c:pt idx="0">
                  <c:v>100</c:v>
                </c:pt>
                <c:pt idx="1">
                  <c:v>108.74159498914871</c:v>
                </c:pt>
                <c:pt idx="2">
                  <c:v>93.746188664601803</c:v>
                </c:pt>
                <c:pt idx="3">
                  <c:v>80.704040314764441</c:v>
                </c:pt>
                <c:pt idx="4">
                  <c:v>54.193841509559185</c:v>
                </c:pt>
                <c:pt idx="5">
                  <c:v>50.262263644898596</c:v>
                </c:pt>
                <c:pt idx="6">
                  <c:v>53.722059260932973</c:v>
                </c:pt>
                <c:pt idx="7">
                  <c:v>60.774799255051768</c:v>
                </c:pt>
                <c:pt idx="8">
                  <c:v>66.198264256751131</c:v>
                </c:pt>
                <c:pt idx="9">
                  <c:v>61.700432791583893</c:v>
                </c:pt>
                <c:pt idx="10">
                  <c:v>55.828464984020563</c:v>
                </c:pt>
                <c:pt idx="11">
                  <c:v>69.277138639621754</c:v>
                </c:pt>
                <c:pt idx="12">
                  <c:v>69.952964147184616</c:v>
                </c:pt>
                <c:pt idx="13">
                  <c:v>76.760600297334918</c:v>
                </c:pt>
                <c:pt idx="14">
                  <c:v>81.624899716476378</c:v>
                </c:pt>
                <c:pt idx="15">
                  <c:v>83.302118763079605</c:v>
                </c:pt>
                <c:pt idx="16">
                  <c:v>83.476812779516024</c:v>
                </c:pt>
                <c:pt idx="17">
                  <c:v>82.490838540089811</c:v>
                </c:pt>
                <c:pt idx="18">
                  <c:v>79.593628902200081</c:v>
                </c:pt>
                <c:pt idx="19">
                  <c:v>81.168675270715653</c:v>
                </c:pt>
                <c:pt idx="20">
                  <c:v>81.573019347107817</c:v>
                </c:pt>
                <c:pt idx="21">
                  <c:v>81.594208798342876</c:v>
                </c:pt>
                <c:pt idx="22">
                  <c:v>81.63207967907789</c:v>
                </c:pt>
                <c:pt idx="23">
                  <c:v>81.684882255219904</c:v>
                </c:pt>
                <c:pt idx="24">
                  <c:v>81.759646453692454</c:v>
                </c:pt>
                <c:pt idx="25">
                  <c:v>82.460390986194227</c:v>
                </c:pt>
                <c:pt idx="26">
                  <c:v>83.384388814342529</c:v>
                </c:pt>
                <c:pt idx="27">
                  <c:v>84.323085676308068</c:v>
                </c:pt>
                <c:pt idx="28">
                  <c:v>85.275784738831632</c:v>
                </c:pt>
                <c:pt idx="29">
                  <c:v>84.558711907965176</c:v>
                </c:pt>
                <c:pt idx="30">
                  <c:v>97.419890280560111</c:v>
                </c:pt>
                <c:pt idx="31">
                  <c:v>94.657424930388288</c:v>
                </c:pt>
                <c:pt idx="32">
                  <c:v>69.395636456016916</c:v>
                </c:pt>
                <c:pt idx="33">
                  <c:v>72.875986816529831</c:v>
                </c:pt>
                <c:pt idx="34">
                  <c:v>72.028385876995728</c:v>
                </c:pt>
                <c:pt idx="35">
                  <c:v>82.087020149554917</c:v>
                </c:pt>
                <c:pt idx="36">
                  <c:v>95.551572163264652</c:v>
                </c:pt>
                <c:pt idx="37">
                  <c:v>106.07093211024011</c:v>
                </c:pt>
                <c:pt idx="38">
                  <c:v>111.40113837497661</c:v>
                </c:pt>
                <c:pt idx="39">
                  <c:v>111.526085201759</c:v>
                </c:pt>
                <c:pt idx="40">
                  <c:v>128.57348083003683</c:v>
                </c:pt>
                <c:pt idx="41">
                  <c:v>140.09305242809904</c:v>
                </c:pt>
                <c:pt idx="42">
                  <c:v>127.24619651503004</c:v>
                </c:pt>
                <c:pt idx="43">
                  <c:v>99.00897989291731</c:v>
                </c:pt>
                <c:pt idx="44">
                  <c:v>41.635895921984932</c:v>
                </c:pt>
                <c:pt idx="45">
                  <c:v>23.665034850356069</c:v>
                </c:pt>
                <c:pt idx="46">
                  <c:v>32.063227017145451</c:v>
                </c:pt>
                <c:pt idx="47">
                  <c:v>34.771958601993248</c:v>
                </c:pt>
                <c:pt idx="48">
                  <c:v>39.492039622420165</c:v>
                </c:pt>
                <c:pt idx="49">
                  <c:v>39.214658144897392</c:v>
                </c:pt>
                <c:pt idx="50">
                  <c:v>39.122705400808876</c:v>
                </c:pt>
                <c:pt idx="51">
                  <c:v>38.615519896069486</c:v>
                </c:pt>
                <c:pt idx="52">
                  <c:v>36.977837330666084</c:v>
                </c:pt>
                <c:pt idx="53">
                  <c:v>39.197571071686973</c:v>
                </c:pt>
                <c:pt idx="54">
                  <c:v>52.795914338506577</c:v>
                </c:pt>
                <c:pt idx="55">
                  <c:v>64.683631388241963</c:v>
                </c:pt>
                <c:pt idx="56">
                  <c:v>73.39194676586834</c:v>
                </c:pt>
                <c:pt idx="57">
                  <c:v>76.035714225631708</c:v>
                </c:pt>
                <c:pt idx="58">
                  <c:v>69.408080610344484</c:v>
                </c:pt>
                <c:pt idx="59">
                  <c:v>56.511699532329587</c:v>
                </c:pt>
                <c:pt idx="60">
                  <c:v>65.914688479456501</c:v>
                </c:pt>
                <c:pt idx="61">
                  <c:v>69.001033919526975</c:v>
                </c:pt>
                <c:pt idx="62">
                  <c:v>95.392404460755074</c:v>
                </c:pt>
                <c:pt idx="63">
                  <c:v>115.79648492681081</c:v>
                </c:pt>
                <c:pt idx="64">
                  <c:v>130.62304788001416</c:v>
                </c:pt>
                <c:pt idx="65">
                  <c:v>121.45562455284524</c:v>
                </c:pt>
                <c:pt idx="66">
                  <c:v>111.39610825070325</c:v>
                </c:pt>
                <c:pt idx="67">
                  <c:v>122.64741354897043</c:v>
                </c:pt>
                <c:pt idx="68">
                  <c:v>133.30028918931097</c:v>
                </c:pt>
                <c:pt idx="69">
                  <c:v>120.42684880348267</c:v>
                </c:pt>
                <c:pt idx="70">
                  <c:v>120.18590814083625</c:v>
                </c:pt>
              </c:numCache>
            </c:numRef>
          </c:val>
          <c:smooth val="0"/>
        </c:ser>
        <c:dLbls>
          <c:showLegendKey val="0"/>
          <c:showVal val="0"/>
          <c:showCatName val="0"/>
          <c:showSerName val="0"/>
          <c:showPercent val="0"/>
          <c:showBubbleSize val="0"/>
        </c:dLbls>
        <c:marker val="1"/>
        <c:smooth val="0"/>
        <c:axId val="473806648"/>
        <c:axId val="473812136"/>
      </c:lineChart>
      <c:catAx>
        <c:axId val="4738066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812136"/>
        <c:crosses val="autoZero"/>
        <c:auto val="1"/>
        <c:lblAlgn val="ctr"/>
        <c:lblOffset val="1"/>
        <c:tickLblSkip val="5"/>
        <c:tickMarkSkip val="1"/>
        <c:noMultiLvlLbl val="0"/>
      </c:catAx>
      <c:valAx>
        <c:axId val="4738121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Percentage SOC (%)</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806648"/>
        <c:crossesAt val="1"/>
        <c:crossBetween val="between"/>
      </c:valAx>
      <c:valAx>
        <c:axId val="47381096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Engine on (=1)</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814488"/>
        <c:crosses val="max"/>
        <c:crossBetween val="between"/>
      </c:valAx>
      <c:catAx>
        <c:axId val="473814488"/>
        <c:scaling>
          <c:orientation val="minMax"/>
        </c:scaling>
        <c:delete val="1"/>
        <c:axPos val="b"/>
        <c:numFmt formatCode="General" sourceLinked="1"/>
        <c:majorTickMark val="out"/>
        <c:minorTickMark val="none"/>
        <c:tickLblPos val="nextTo"/>
        <c:crossAx val="473810960"/>
        <c:auto val="1"/>
        <c:lblAlgn val="ctr"/>
        <c:lblOffset val="100"/>
        <c:noMultiLvlLbl val="0"/>
      </c:cat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strRef>
              <c:f>'CW2 Sheet '!$AK$84</c:f>
              <c:strCache>
                <c:ptCount val="1"/>
                <c:pt idx="0">
                  <c:v>Engine supply Power (W) </c:v>
                </c:pt>
              </c:strCache>
            </c:strRef>
          </c:tx>
          <c:spPr>
            <a:ln w="28575" cap="rnd">
              <a:solidFill>
                <a:schemeClr val="accent1"/>
              </a:solidFill>
              <a:round/>
            </a:ln>
            <a:effectLst/>
          </c:spPr>
          <c:marker>
            <c:symbol val="none"/>
          </c:marker>
          <c:val>
            <c:numRef>
              <c:f>'CW2 Sheet '!$AK$85:$AK$155</c:f>
              <c:numCache>
                <c:formatCode>General</c:formatCode>
                <c:ptCount val="71"/>
                <c:pt idx="0">
                  <c:v>0</c:v>
                </c:pt>
                <c:pt idx="1">
                  <c:v>34000</c:v>
                </c:pt>
                <c:pt idx="2">
                  <c:v>34000</c:v>
                </c:pt>
                <c:pt idx="3">
                  <c:v>34000</c:v>
                </c:pt>
                <c:pt idx="4">
                  <c:v>34000</c:v>
                </c:pt>
                <c:pt idx="5">
                  <c:v>0</c:v>
                </c:pt>
                <c:pt idx="6">
                  <c:v>0</c:v>
                </c:pt>
                <c:pt idx="7">
                  <c:v>0</c:v>
                </c:pt>
                <c:pt idx="8">
                  <c:v>0</c:v>
                </c:pt>
                <c:pt idx="9">
                  <c:v>0</c:v>
                </c:pt>
                <c:pt idx="10">
                  <c:v>0</c:v>
                </c:pt>
                <c:pt idx="11">
                  <c:v>34000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34000</c:v>
                </c:pt>
                <c:pt idx="31">
                  <c:v>34000</c:v>
                </c:pt>
                <c:pt idx="32">
                  <c:v>34000</c:v>
                </c:pt>
                <c:pt idx="33">
                  <c:v>34000</c:v>
                </c:pt>
                <c:pt idx="34">
                  <c:v>0</c:v>
                </c:pt>
                <c:pt idx="35">
                  <c:v>0</c:v>
                </c:pt>
                <c:pt idx="36">
                  <c:v>0</c:v>
                </c:pt>
                <c:pt idx="37">
                  <c:v>0</c:v>
                </c:pt>
                <c:pt idx="38">
                  <c:v>0</c:v>
                </c:pt>
                <c:pt idx="39">
                  <c:v>0</c:v>
                </c:pt>
                <c:pt idx="40">
                  <c:v>34000</c:v>
                </c:pt>
                <c:pt idx="41">
                  <c:v>34000</c:v>
                </c:pt>
                <c:pt idx="42">
                  <c:v>34000</c:v>
                </c:pt>
                <c:pt idx="43">
                  <c:v>34000</c:v>
                </c:pt>
                <c:pt idx="44">
                  <c:v>34000</c:v>
                </c:pt>
                <c:pt idx="45">
                  <c:v>34000</c:v>
                </c:pt>
                <c:pt idx="46">
                  <c:v>0</c:v>
                </c:pt>
                <c:pt idx="47">
                  <c:v>0</c:v>
                </c:pt>
                <c:pt idx="48">
                  <c:v>0</c:v>
                </c:pt>
                <c:pt idx="49">
                  <c:v>0</c:v>
                </c:pt>
                <c:pt idx="50">
                  <c:v>0</c:v>
                </c:pt>
                <c:pt idx="51">
                  <c:v>0</c:v>
                </c:pt>
                <c:pt idx="52">
                  <c:v>0</c:v>
                </c:pt>
                <c:pt idx="53">
                  <c:v>0</c:v>
                </c:pt>
                <c:pt idx="54">
                  <c:v>34000</c:v>
                </c:pt>
                <c:pt idx="55">
                  <c:v>34000</c:v>
                </c:pt>
                <c:pt idx="56">
                  <c:v>34000</c:v>
                </c:pt>
                <c:pt idx="57">
                  <c:v>34000</c:v>
                </c:pt>
                <c:pt idx="58">
                  <c:v>34000</c:v>
                </c:pt>
                <c:pt idx="59">
                  <c:v>34000</c:v>
                </c:pt>
                <c:pt idx="60">
                  <c:v>0</c:v>
                </c:pt>
                <c:pt idx="61">
                  <c:v>0</c:v>
                </c:pt>
                <c:pt idx="62">
                  <c:v>0</c:v>
                </c:pt>
                <c:pt idx="63">
                  <c:v>0</c:v>
                </c:pt>
                <c:pt idx="64">
                  <c:v>0</c:v>
                </c:pt>
                <c:pt idx="65">
                  <c:v>0</c:v>
                </c:pt>
                <c:pt idx="66">
                  <c:v>0</c:v>
                </c:pt>
                <c:pt idx="67">
                  <c:v>34000</c:v>
                </c:pt>
                <c:pt idx="68">
                  <c:v>34000</c:v>
                </c:pt>
                <c:pt idx="69">
                  <c:v>0</c:v>
                </c:pt>
                <c:pt idx="70">
                  <c:v>34000</c:v>
                </c:pt>
              </c:numCache>
            </c:numRef>
          </c:val>
          <c:smooth val="0"/>
        </c:ser>
        <c:ser>
          <c:idx val="1"/>
          <c:order val="1"/>
          <c:tx>
            <c:strRef>
              <c:f>'CW2 Sheet '!$AL$84</c:f>
              <c:strCache>
                <c:ptCount val="1"/>
                <c:pt idx="0">
                  <c:v>power at wheel minus engine</c:v>
                </c:pt>
              </c:strCache>
            </c:strRef>
          </c:tx>
          <c:spPr>
            <a:ln w="28575" cap="rnd">
              <a:solidFill>
                <a:schemeClr val="accent2"/>
              </a:solidFill>
              <a:round/>
            </a:ln>
            <a:effectLst/>
          </c:spPr>
          <c:marker>
            <c:symbol val="none"/>
          </c:marker>
          <c:val>
            <c:numRef>
              <c:f>'CW2 Sheet '!$AL$85:$AL$155</c:f>
              <c:numCache>
                <c:formatCode>General</c:formatCode>
                <c:ptCount val="71"/>
                <c:pt idx="0">
                  <c:v>0</c:v>
                </c:pt>
                <c:pt idx="1">
                  <c:v>-16279.716325223115</c:v>
                </c:pt>
                <c:pt idx="2">
                  <c:v>17828.218524129697</c:v>
                </c:pt>
                <c:pt idx="3">
                  <c:v>51686.555596339444</c:v>
                </c:pt>
                <c:pt idx="4">
                  <c:v>105060.97827298066</c:v>
                </c:pt>
                <c:pt idx="5">
                  <c:v>4674.3001022293374</c:v>
                </c:pt>
                <c:pt idx="6">
                  <c:v>-6443.2739382467507</c:v>
                </c:pt>
                <c:pt idx="7">
                  <c:v>-13134.514532226256</c:v>
                </c:pt>
                <c:pt idx="8">
                  <c:v>-10100.270240962003</c:v>
                </c:pt>
                <c:pt idx="9">
                  <c:v>5347.525802914909</c:v>
                </c:pt>
                <c:pt idx="10">
                  <c:v>6981.2529900257286</c:v>
                </c:pt>
                <c:pt idx="11">
                  <c:v>-25045.840299792959</c:v>
                </c:pt>
                <c:pt idx="12">
                  <c:v>-1258.6087049481266</c:v>
                </c:pt>
                <c:pt idx="13">
                  <c:v>-12678.050802783055</c:v>
                </c:pt>
                <c:pt idx="14">
                  <c:v>-9058.9205703159732</c:v>
                </c:pt>
                <c:pt idx="15">
                  <c:v>-3123.5318414838871</c:v>
                </c:pt>
                <c:pt idx="16">
                  <c:v>-325.3375424998581</c:v>
                </c:pt>
                <c:pt idx="17">
                  <c:v>1172.236604944685</c:v>
                </c:pt>
                <c:pt idx="18">
                  <c:v>3444.5273050027504</c:v>
                </c:pt>
                <c:pt idx="19">
                  <c:v>-2933.2528114532502</c:v>
                </c:pt>
                <c:pt idx="20">
                  <c:v>-753.02125866275003</c:v>
                </c:pt>
                <c:pt idx="21">
                  <c:v>-39.461706430250032</c:v>
                </c:pt>
                <c:pt idx="22">
                  <c:v>-70.52799816485792</c:v>
                </c:pt>
                <c:pt idx="23">
                  <c:v>-98.335711263223871</c:v>
                </c:pt>
                <c:pt idx="24">
                  <c:v>-139.2354534757703</c:v>
                </c:pt>
                <c:pt idx="25">
                  <c:v>-1305.0161005790367</c:v>
                </c:pt>
                <c:pt idx="26">
                  <c:v>-1720.7869440358652</c:v>
                </c:pt>
                <c:pt idx="27">
                  <c:v>-1748.1613649621493</c:v>
                </c:pt>
                <c:pt idx="28">
                  <c:v>-1774.2380538611442</c:v>
                </c:pt>
                <c:pt idx="29">
                  <c:v>852.53649349109162</c:v>
                </c:pt>
                <c:pt idx="30">
                  <c:v>-23951.731437323218</c:v>
                </c:pt>
                <c:pt idx="31">
                  <c:v>3284.3282044034713</c:v>
                </c:pt>
                <c:pt idx="32">
                  <c:v>30034.04345864182</c:v>
                </c:pt>
                <c:pt idx="33">
                  <c:v>-6481.5536125697108</c:v>
                </c:pt>
                <c:pt idx="34">
                  <c:v>1007.7229282233668</c:v>
                </c:pt>
                <c:pt idx="35">
                  <c:v>-18732.47534113652</c:v>
                </c:pt>
                <c:pt idx="36">
                  <c:v>-25075.411009261668</c:v>
                </c:pt>
                <c:pt idx="37">
                  <c:v>-19590.497623403589</c:v>
                </c:pt>
                <c:pt idx="38">
                  <c:v>-9926.5918922752207</c:v>
                </c:pt>
                <c:pt idx="39">
                  <c:v>-232.69196276871921</c:v>
                </c:pt>
                <c:pt idx="40">
                  <c:v>-31747.840669433594</c:v>
                </c:pt>
                <c:pt idx="41">
                  <c:v>-21453.219697016964</c:v>
                </c:pt>
                <c:pt idx="42">
                  <c:v>15273.78115731867</c:v>
                </c:pt>
                <c:pt idx="43">
                  <c:v>33571.5656886293</c:v>
                </c:pt>
                <c:pt idx="44">
                  <c:v>68211.548010049155</c:v>
                </c:pt>
                <c:pt idx="45">
                  <c:v>21365.772378392416</c:v>
                </c:pt>
                <c:pt idx="46">
                  <c:v>-15640.187664809264</c:v>
                </c:pt>
                <c:pt idx="47">
                  <c:v>-5044.5464308554701</c:v>
                </c:pt>
                <c:pt idx="48">
                  <c:v>-8790.3386212706591</c:v>
                </c:pt>
                <c:pt idx="49">
                  <c:v>329.78216720455481</c:v>
                </c:pt>
                <c:pt idx="50">
                  <c:v>109.32372087976664</c:v>
                </c:pt>
                <c:pt idx="51">
                  <c:v>602.99893281071877</c:v>
                </c:pt>
                <c:pt idx="52">
                  <c:v>1947.0604541988887</c:v>
                </c:pt>
                <c:pt idx="53">
                  <c:v>-4133.8720984218617</c:v>
                </c:pt>
                <c:pt idx="54">
                  <c:v>-25324.574194026998</c:v>
                </c:pt>
                <c:pt idx="55">
                  <c:v>-22138.827246566019</c:v>
                </c:pt>
                <c:pt idx="56">
                  <c:v>-16217.738775854879</c:v>
                </c:pt>
                <c:pt idx="57">
                  <c:v>-4923.5619275693025</c:v>
                </c:pt>
                <c:pt idx="58">
                  <c:v>7879.6731368183537</c:v>
                </c:pt>
                <c:pt idx="59">
                  <c:v>15332.662220224855</c:v>
                </c:pt>
                <c:pt idx="60">
                  <c:v>-17511.448752596825</c:v>
                </c:pt>
                <c:pt idx="61">
                  <c:v>-5747.7872525968187</c:v>
                </c:pt>
                <c:pt idx="62">
                  <c:v>-49149.385939108157</c:v>
                </c:pt>
                <c:pt idx="63">
                  <c:v>-37999.088527523068</c:v>
                </c:pt>
                <c:pt idx="64">
                  <c:v>-27611.921995452529</c:v>
                </c:pt>
                <c:pt idx="65">
                  <c:v>10899.259602751037</c:v>
                </c:pt>
                <c:pt idx="66">
                  <c:v>11959.879645812254</c:v>
                </c:pt>
                <c:pt idx="67">
                  <c:v>-20953.619879626531</c:v>
                </c:pt>
                <c:pt idx="68">
                  <c:v>-19839.147625565314</c:v>
                </c:pt>
                <c:pt idx="69">
                  <c:v>15305.387755995906</c:v>
                </c:pt>
                <c:pt idx="70">
                  <c:v>286.45724510826403</c:v>
                </c:pt>
              </c:numCache>
            </c:numRef>
          </c:val>
          <c:smooth val="0"/>
        </c:ser>
        <c:dLbls>
          <c:showLegendKey val="0"/>
          <c:showVal val="0"/>
          <c:showCatName val="0"/>
          <c:showSerName val="0"/>
          <c:showPercent val="0"/>
          <c:showBubbleSize val="0"/>
        </c:dLbls>
        <c:smooth val="0"/>
        <c:axId val="506272176"/>
        <c:axId val="506266688"/>
      </c:lineChart>
      <c:catAx>
        <c:axId val="50627217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6266688"/>
        <c:crosses val="autoZero"/>
        <c:auto val="1"/>
        <c:lblAlgn val="ctr"/>
        <c:lblOffset val="100"/>
        <c:noMultiLvlLbl val="0"/>
      </c:catAx>
      <c:valAx>
        <c:axId val="5062666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62721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supply from Engine and Battery to wheels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strRef>
              <c:f>'CW2 Sheet '!$AK$84</c:f>
              <c:strCache>
                <c:ptCount val="1"/>
                <c:pt idx="0">
                  <c:v>Engine supply Power (W) </c:v>
                </c:pt>
              </c:strCache>
            </c:strRef>
          </c:tx>
          <c:spPr>
            <a:ln w="28575" cap="rnd">
              <a:solidFill>
                <a:schemeClr val="accent1"/>
              </a:solidFill>
              <a:round/>
            </a:ln>
            <a:effectLst/>
          </c:spPr>
          <c:marker>
            <c:symbol val="none"/>
          </c:marker>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'!$AK$85:$AK$155</c:f>
              <c:numCache>
                <c:formatCode>General</c:formatCode>
                <c:ptCount val="71"/>
                <c:pt idx="0">
                  <c:v>0</c:v>
                </c:pt>
                <c:pt idx="1">
                  <c:v>34000</c:v>
                </c:pt>
                <c:pt idx="2">
                  <c:v>34000</c:v>
                </c:pt>
                <c:pt idx="3">
                  <c:v>34000</c:v>
                </c:pt>
                <c:pt idx="4">
                  <c:v>34000</c:v>
                </c:pt>
                <c:pt idx="5">
                  <c:v>0</c:v>
                </c:pt>
                <c:pt idx="6">
                  <c:v>0</c:v>
                </c:pt>
                <c:pt idx="7">
                  <c:v>0</c:v>
                </c:pt>
                <c:pt idx="8">
                  <c:v>0</c:v>
                </c:pt>
                <c:pt idx="9">
                  <c:v>0</c:v>
                </c:pt>
                <c:pt idx="10">
                  <c:v>0</c:v>
                </c:pt>
                <c:pt idx="11">
                  <c:v>34000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34000</c:v>
                </c:pt>
                <c:pt idx="31">
                  <c:v>34000</c:v>
                </c:pt>
                <c:pt idx="32">
                  <c:v>34000</c:v>
                </c:pt>
                <c:pt idx="33">
                  <c:v>34000</c:v>
                </c:pt>
                <c:pt idx="34">
                  <c:v>0</c:v>
                </c:pt>
                <c:pt idx="35">
                  <c:v>0</c:v>
                </c:pt>
                <c:pt idx="36">
                  <c:v>0</c:v>
                </c:pt>
                <c:pt idx="37">
                  <c:v>0</c:v>
                </c:pt>
                <c:pt idx="38">
                  <c:v>0</c:v>
                </c:pt>
                <c:pt idx="39">
                  <c:v>0</c:v>
                </c:pt>
                <c:pt idx="40">
                  <c:v>34000</c:v>
                </c:pt>
                <c:pt idx="41">
                  <c:v>34000</c:v>
                </c:pt>
                <c:pt idx="42">
                  <c:v>34000</c:v>
                </c:pt>
                <c:pt idx="43">
                  <c:v>34000</c:v>
                </c:pt>
                <c:pt idx="44">
                  <c:v>34000</c:v>
                </c:pt>
                <c:pt idx="45">
                  <c:v>34000</c:v>
                </c:pt>
                <c:pt idx="46">
                  <c:v>0</c:v>
                </c:pt>
                <c:pt idx="47">
                  <c:v>0</c:v>
                </c:pt>
                <c:pt idx="48">
                  <c:v>0</c:v>
                </c:pt>
                <c:pt idx="49">
                  <c:v>0</c:v>
                </c:pt>
                <c:pt idx="50">
                  <c:v>0</c:v>
                </c:pt>
                <c:pt idx="51">
                  <c:v>0</c:v>
                </c:pt>
                <c:pt idx="52">
                  <c:v>0</c:v>
                </c:pt>
                <c:pt idx="53">
                  <c:v>0</c:v>
                </c:pt>
                <c:pt idx="54">
                  <c:v>34000</c:v>
                </c:pt>
                <c:pt idx="55">
                  <c:v>34000</c:v>
                </c:pt>
                <c:pt idx="56">
                  <c:v>34000</c:v>
                </c:pt>
                <c:pt idx="57">
                  <c:v>34000</c:v>
                </c:pt>
                <c:pt idx="58">
                  <c:v>34000</c:v>
                </c:pt>
                <c:pt idx="59">
                  <c:v>34000</c:v>
                </c:pt>
                <c:pt idx="60">
                  <c:v>0</c:v>
                </c:pt>
                <c:pt idx="61">
                  <c:v>0</c:v>
                </c:pt>
                <c:pt idx="62">
                  <c:v>0</c:v>
                </c:pt>
                <c:pt idx="63">
                  <c:v>0</c:v>
                </c:pt>
                <c:pt idx="64">
                  <c:v>0</c:v>
                </c:pt>
                <c:pt idx="65">
                  <c:v>0</c:v>
                </c:pt>
                <c:pt idx="66">
                  <c:v>0</c:v>
                </c:pt>
                <c:pt idx="67">
                  <c:v>34000</c:v>
                </c:pt>
                <c:pt idx="68">
                  <c:v>34000</c:v>
                </c:pt>
                <c:pt idx="69">
                  <c:v>0</c:v>
                </c:pt>
                <c:pt idx="70">
                  <c:v>34000</c:v>
                </c:pt>
              </c:numCache>
            </c:numRef>
          </c:val>
          <c:smooth val="0"/>
        </c:ser>
        <c:ser>
          <c:idx val="1"/>
          <c:order val="1"/>
          <c:tx>
            <c:strRef>
              <c:f>'CW2 Sheet '!$AN$84</c:f>
              <c:strCache>
                <c:ptCount val="1"/>
                <c:pt idx="0">
                  <c:v>Battery Power at wheels (W)</c:v>
                </c:pt>
              </c:strCache>
            </c:strRef>
          </c:tx>
          <c:spPr>
            <a:ln w="28575" cap="rnd">
              <a:solidFill>
                <a:schemeClr val="accent2"/>
              </a:solidFill>
              <a:round/>
            </a:ln>
            <a:effectLst/>
          </c:spPr>
          <c:marker>
            <c:symbol val="none"/>
          </c:marker>
          <c:cat>
            <c:numRef>
              <c:f>'CW2 Sheet '!$L$85:$L$155</c:f>
              <c:numCache>
                <c:formatCode>General</c:formatCode>
                <c:ptCount val="7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numCache>
            </c:numRef>
          </c:cat>
          <c:val>
            <c:numRef>
              <c:f>'CW2 Sheet '!$AN$85:$AN$155</c:f>
              <c:numCache>
                <c:formatCode>General</c:formatCode>
                <c:ptCount val="71"/>
                <c:pt idx="0">
                  <c:v>0</c:v>
                </c:pt>
                <c:pt idx="1">
                  <c:v>0</c:v>
                </c:pt>
                <c:pt idx="2">
                  <c:v>17828.218524129697</c:v>
                </c:pt>
                <c:pt idx="3">
                  <c:v>51686.555596339444</c:v>
                </c:pt>
                <c:pt idx="4">
                  <c:v>105060.97827298066</c:v>
                </c:pt>
                <c:pt idx="5">
                  <c:v>4674.3001022293374</c:v>
                </c:pt>
                <c:pt idx="6">
                  <c:v>0</c:v>
                </c:pt>
                <c:pt idx="7">
                  <c:v>0</c:v>
                </c:pt>
                <c:pt idx="8">
                  <c:v>0</c:v>
                </c:pt>
                <c:pt idx="9">
                  <c:v>5347.525802914909</c:v>
                </c:pt>
                <c:pt idx="10">
                  <c:v>6981.2529900257286</c:v>
                </c:pt>
                <c:pt idx="11">
                  <c:v>0</c:v>
                </c:pt>
                <c:pt idx="12">
                  <c:v>0</c:v>
                </c:pt>
                <c:pt idx="13">
                  <c:v>0</c:v>
                </c:pt>
                <c:pt idx="14">
                  <c:v>0</c:v>
                </c:pt>
                <c:pt idx="15">
                  <c:v>0</c:v>
                </c:pt>
                <c:pt idx="16">
                  <c:v>0</c:v>
                </c:pt>
                <c:pt idx="17">
                  <c:v>1172.236604944685</c:v>
                </c:pt>
                <c:pt idx="18">
                  <c:v>3444.5273050027504</c:v>
                </c:pt>
                <c:pt idx="19">
                  <c:v>0</c:v>
                </c:pt>
                <c:pt idx="20">
                  <c:v>0</c:v>
                </c:pt>
                <c:pt idx="21">
                  <c:v>0</c:v>
                </c:pt>
                <c:pt idx="22">
                  <c:v>0</c:v>
                </c:pt>
                <c:pt idx="23">
                  <c:v>0</c:v>
                </c:pt>
                <c:pt idx="24">
                  <c:v>0</c:v>
                </c:pt>
                <c:pt idx="25">
                  <c:v>0</c:v>
                </c:pt>
                <c:pt idx="26">
                  <c:v>0</c:v>
                </c:pt>
                <c:pt idx="27">
                  <c:v>0</c:v>
                </c:pt>
                <c:pt idx="28">
                  <c:v>0</c:v>
                </c:pt>
                <c:pt idx="29">
                  <c:v>852.53649349109162</c:v>
                </c:pt>
                <c:pt idx="30">
                  <c:v>0</c:v>
                </c:pt>
                <c:pt idx="31">
                  <c:v>3284.3282044034713</c:v>
                </c:pt>
                <c:pt idx="32">
                  <c:v>30034.04345864182</c:v>
                </c:pt>
                <c:pt idx="33">
                  <c:v>0</c:v>
                </c:pt>
                <c:pt idx="34">
                  <c:v>1007.7229282233668</c:v>
                </c:pt>
                <c:pt idx="35">
                  <c:v>0</c:v>
                </c:pt>
                <c:pt idx="36">
                  <c:v>0</c:v>
                </c:pt>
                <c:pt idx="37">
                  <c:v>0</c:v>
                </c:pt>
                <c:pt idx="38">
                  <c:v>0</c:v>
                </c:pt>
                <c:pt idx="39">
                  <c:v>0</c:v>
                </c:pt>
                <c:pt idx="40">
                  <c:v>0</c:v>
                </c:pt>
                <c:pt idx="41">
                  <c:v>0</c:v>
                </c:pt>
                <c:pt idx="42">
                  <c:v>15273.78115731867</c:v>
                </c:pt>
                <c:pt idx="43">
                  <c:v>33571.5656886293</c:v>
                </c:pt>
                <c:pt idx="44">
                  <c:v>68211.548010049155</c:v>
                </c:pt>
                <c:pt idx="45">
                  <c:v>21365.772378392416</c:v>
                </c:pt>
                <c:pt idx="46">
                  <c:v>0</c:v>
                </c:pt>
                <c:pt idx="47">
                  <c:v>0</c:v>
                </c:pt>
                <c:pt idx="48">
                  <c:v>0</c:v>
                </c:pt>
                <c:pt idx="49">
                  <c:v>329.78216720455481</c:v>
                </c:pt>
                <c:pt idx="50">
                  <c:v>109.32372087976664</c:v>
                </c:pt>
                <c:pt idx="51">
                  <c:v>602.99893281071877</c:v>
                </c:pt>
                <c:pt idx="52">
                  <c:v>1947.0604541988887</c:v>
                </c:pt>
                <c:pt idx="53">
                  <c:v>0</c:v>
                </c:pt>
                <c:pt idx="54">
                  <c:v>0</c:v>
                </c:pt>
                <c:pt idx="55">
                  <c:v>0</c:v>
                </c:pt>
                <c:pt idx="56">
                  <c:v>0</c:v>
                </c:pt>
                <c:pt idx="57">
                  <c:v>0</c:v>
                </c:pt>
                <c:pt idx="58">
                  <c:v>7879.6731368183537</c:v>
                </c:pt>
                <c:pt idx="59">
                  <c:v>15332.662220224855</c:v>
                </c:pt>
                <c:pt idx="60">
                  <c:v>0</c:v>
                </c:pt>
                <c:pt idx="61">
                  <c:v>0</c:v>
                </c:pt>
                <c:pt idx="62">
                  <c:v>0</c:v>
                </c:pt>
                <c:pt idx="63">
                  <c:v>0</c:v>
                </c:pt>
                <c:pt idx="64">
                  <c:v>0</c:v>
                </c:pt>
                <c:pt idx="65">
                  <c:v>10899.259602751037</c:v>
                </c:pt>
                <c:pt idx="66">
                  <c:v>11959.879645812254</c:v>
                </c:pt>
                <c:pt idx="67">
                  <c:v>0</c:v>
                </c:pt>
                <c:pt idx="68">
                  <c:v>0</c:v>
                </c:pt>
                <c:pt idx="69">
                  <c:v>15305.387755995906</c:v>
                </c:pt>
                <c:pt idx="70">
                  <c:v>286.45724510826403</c:v>
                </c:pt>
              </c:numCache>
            </c:numRef>
          </c:val>
          <c:smooth val="0"/>
        </c:ser>
        <c:dLbls>
          <c:showLegendKey val="0"/>
          <c:showVal val="0"/>
          <c:showCatName val="0"/>
          <c:showSerName val="0"/>
          <c:showPercent val="0"/>
          <c:showBubbleSize val="0"/>
        </c:dLbls>
        <c:smooth val="0"/>
        <c:axId val="509313920"/>
        <c:axId val="509315488"/>
      </c:lineChart>
      <c:catAx>
        <c:axId val="5093139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9315488"/>
        <c:crosses val="autoZero"/>
        <c:auto val="1"/>
        <c:lblAlgn val="ctr"/>
        <c:lblOffset val="100"/>
        <c:tickLblSkip val="5"/>
        <c:noMultiLvlLbl val="0"/>
      </c:catAx>
      <c:valAx>
        <c:axId val="509315488"/>
        <c:scaling>
          <c:orientation val="minMax"/>
          <c:min val="-5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9313920"/>
        <c:crosses val="autoZero"/>
        <c:crossBetween val="between"/>
        <c:majorUnit val="25000"/>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time graph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1"/>
          <c:tx>
            <c:strRef>
              <c:f>Sheet1!$T$4</c:f>
              <c:strCache>
                <c:ptCount val="1"/>
                <c:pt idx="0">
                  <c:v>Velocity (m/s)</c:v>
                </c:pt>
              </c:strCache>
            </c:strRef>
          </c:tx>
          <c:spPr>
            <a:ln w="28575" cap="rnd">
              <a:solidFill>
                <a:schemeClr val="accent1"/>
              </a:solidFill>
              <a:round/>
            </a:ln>
            <a:effectLst/>
          </c:spPr>
          <c:marker>
            <c:symbol val="circle"/>
            <c:size val="5"/>
            <c:spPr>
              <a:noFill/>
              <a:ln w="9525">
                <a:solidFill>
                  <a:schemeClr val="accent1"/>
                </a:solidFill>
              </a:ln>
              <a:effectLst/>
            </c:spPr>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Sheet1!$T$5:$T$31</c:f>
              <c:numCache>
                <c:formatCode>General</c:formatCode>
                <c:ptCount val="27"/>
                <c:pt idx="0">
                  <c:v>0</c:v>
                </c:pt>
                <c:pt idx="1">
                  <c:v>17.881090746535538</c:v>
                </c:pt>
                <c:pt idx="2">
                  <c:v>15.645954403218596</c:v>
                </c:pt>
                <c:pt idx="3">
                  <c:v>8.9405453732677689</c:v>
                </c:pt>
                <c:pt idx="4">
                  <c:v>4.4702726866338844</c:v>
                </c:pt>
                <c:pt idx="5">
                  <c:v>2.2351363433169422</c:v>
                </c:pt>
                <c:pt idx="6">
                  <c:v>0.89405453732677687</c:v>
                </c:pt>
                <c:pt idx="7">
                  <c:v>1.3410818059901652</c:v>
                </c:pt>
                <c:pt idx="8">
                  <c:v>13.410818059901654</c:v>
                </c:pt>
                <c:pt idx="9">
                  <c:v>8.9405453732677689</c:v>
                </c:pt>
                <c:pt idx="10">
                  <c:v>6.7054090299508271</c:v>
                </c:pt>
                <c:pt idx="11">
                  <c:v>17.881090746535538</c:v>
                </c:pt>
                <c:pt idx="12">
                  <c:v>15.645954403218596</c:v>
                </c:pt>
                <c:pt idx="13">
                  <c:v>15.645954403218596</c:v>
                </c:pt>
                <c:pt idx="14">
                  <c:v>15.645954403218596</c:v>
                </c:pt>
                <c:pt idx="15">
                  <c:v>17.881090746535538</c:v>
                </c:pt>
                <c:pt idx="16">
                  <c:v>8.9405453732677689</c:v>
                </c:pt>
                <c:pt idx="17">
                  <c:v>11.175681716584711</c:v>
                </c:pt>
                <c:pt idx="18">
                  <c:v>15.645954403218596</c:v>
                </c:pt>
                <c:pt idx="19">
                  <c:v>17.881090746535538</c:v>
                </c:pt>
                <c:pt idx="20">
                  <c:v>17.881090746535538</c:v>
                </c:pt>
                <c:pt idx="21">
                  <c:v>17.881090746535538</c:v>
                </c:pt>
                <c:pt idx="22">
                  <c:v>17.881090746535538</c:v>
                </c:pt>
                <c:pt idx="23">
                  <c:v>11.175681716584711</c:v>
                </c:pt>
                <c:pt idx="24">
                  <c:v>13.410818059901654</c:v>
                </c:pt>
                <c:pt idx="25">
                  <c:v>17.881090746535538</c:v>
                </c:pt>
                <c:pt idx="26">
                  <c:v>17.881090746535538</c:v>
                </c:pt>
              </c:numCache>
            </c:numRef>
          </c:val>
          <c:smooth val="0"/>
          <c:extLst xmlns:c16r2="http://schemas.microsoft.com/office/drawing/2015/06/chart">
            <c:ext xmlns:c16="http://schemas.microsoft.com/office/drawing/2014/chart" uri="{C3380CC4-5D6E-409C-BE32-E72D297353CC}">
              <c16:uniqueId val="{00000000-E807-4284-B8EC-2BE09BD83D25}"/>
            </c:ext>
          </c:extLst>
        </c:ser>
        <c:ser>
          <c:idx val="2"/>
          <c:order val="2"/>
          <c:tx>
            <c:strRef>
              <c:f>Sheet1!$U$4</c:f>
              <c:strCache>
                <c:ptCount val="1"/>
                <c:pt idx="0">
                  <c:v>Max Velocity m/s</c:v>
                </c:pt>
              </c:strCache>
            </c:strRef>
          </c:tx>
          <c:spPr>
            <a:ln w="28575" cap="rnd">
              <a:solidFill>
                <a:schemeClr val="accent2"/>
              </a:solidFill>
              <a:round/>
            </a:ln>
            <a:effectLst/>
          </c:spPr>
          <c:marker>
            <c:symbol val="none"/>
          </c:marker>
          <c:val>
            <c:numRef>
              <c:f>Sheet1!$U$5:$U$31</c:f>
              <c:numCache>
                <c:formatCode>General</c:formatCode>
                <c:ptCount val="27"/>
                <c:pt idx="0">
                  <c:v>53.644799999999996</c:v>
                </c:pt>
                <c:pt idx="1">
                  <c:v>53.644799999999996</c:v>
                </c:pt>
                <c:pt idx="2">
                  <c:v>53.644799999999996</c:v>
                </c:pt>
                <c:pt idx="3">
                  <c:v>53.644799999999996</c:v>
                </c:pt>
                <c:pt idx="4">
                  <c:v>53.644799999999996</c:v>
                </c:pt>
                <c:pt idx="5">
                  <c:v>53.644799999999996</c:v>
                </c:pt>
                <c:pt idx="6">
                  <c:v>53.644799999999996</c:v>
                </c:pt>
                <c:pt idx="7">
                  <c:v>53.644799999999996</c:v>
                </c:pt>
                <c:pt idx="8">
                  <c:v>53.644799999999996</c:v>
                </c:pt>
                <c:pt idx="9">
                  <c:v>53.644799999999996</c:v>
                </c:pt>
                <c:pt idx="10">
                  <c:v>53.644799999999996</c:v>
                </c:pt>
                <c:pt idx="11">
                  <c:v>53.644799999999996</c:v>
                </c:pt>
                <c:pt idx="12">
                  <c:v>53.644799999999996</c:v>
                </c:pt>
                <c:pt idx="13">
                  <c:v>53.644799999999996</c:v>
                </c:pt>
                <c:pt idx="14">
                  <c:v>53.644799999999996</c:v>
                </c:pt>
                <c:pt idx="15">
                  <c:v>53.644799999999996</c:v>
                </c:pt>
                <c:pt idx="16">
                  <c:v>53.644799999999996</c:v>
                </c:pt>
                <c:pt idx="17">
                  <c:v>53.644799999999996</c:v>
                </c:pt>
                <c:pt idx="18">
                  <c:v>53.644799999999996</c:v>
                </c:pt>
                <c:pt idx="19">
                  <c:v>53.644799999999996</c:v>
                </c:pt>
                <c:pt idx="20">
                  <c:v>53.644799999999996</c:v>
                </c:pt>
                <c:pt idx="21">
                  <c:v>53.644799999999996</c:v>
                </c:pt>
                <c:pt idx="22">
                  <c:v>53.644799999999996</c:v>
                </c:pt>
                <c:pt idx="23">
                  <c:v>53.644799999999996</c:v>
                </c:pt>
                <c:pt idx="24">
                  <c:v>53.644799999999996</c:v>
                </c:pt>
                <c:pt idx="25">
                  <c:v>53.644799999999996</c:v>
                </c:pt>
                <c:pt idx="26">
                  <c:v>53.644799999999996</c:v>
                </c:pt>
              </c:numCache>
            </c:numRef>
          </c:val>
          <c:smooth val="0"/>
          <c:extLst xmlns:c16r2="http://schemas.microsoft.com/office/drawing/2015/06/chart">
            <c:ext xmlns:c16="http://schemas.microsoft.com/office/drawing/2014/chart" uri="{C3380CC4-5D6E-409C-BE32-E72D297353CC}">
              <c16:uniqueId val="{00000001-24DA-44D1-8E66-B005AD6EA11C}"/>
            </c:ext>
          </c:extLst>
        </c:ser>
        <c:dLbls>
          <c:showLegendKey val="0"/>
          <c:showVal val="0"/>
          <c:showCatName val="0"/>
          <c:showSerName val="0"/>
          <c:showPercent val="0"/>
          <c:showBubbleSize val="0"/>
        </c:dLbls>
        <c:marker val="1"/>
        <c:smooth val="0"/>
        <c:axId val="465044576"/>
        <c:axId val="465043400"/>
        <c:extLst xmlns:c16r2="http://schemas.microsoft.com/office/drawing/2015/06/chart">
          <c:ext xmlns:c15="http://schemas.microsoft.com/office/drawing/2012/chart" uri="{02D57815-91ED-43cb-92C2-25804820EDAC}">
            <c15:filteredLineSeries>
              <c15:ser>
                <c:idx val="1"/>
                <c:order val="0"/>
                <c:tx>
                  <c:strRef>
                    <c:extLst xmlns:c16r2="http://schemas.microsoft.com/office/drawing/2015/06/chart">
                      <c:ext uri="{02D57815-91ED-43cb-92C2-25804820EDAC}">
                        <c15:formulaRef>
                          <c15:sqref>Sheet1!$E$25</c15:sqref>
                        </c15:formulaRef>
                      </c:ext>
                    </c:extLst>
                    <c:strCache>
                      <c:ptCount val="1"/>
                      <c:pt idx="0">
                        <c:v>Max Acceleration m/s²</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xmlns:c16r2="http://schemas.microsoft.com/office/drawing/2015/06/chart">
                      <c:ext uri="{02D57815-91ED-43cb-92C2-25804820EDAC}">
                        <c15:formulaRef>
                          <c15:sqref>Sheet1!$F$25</c15:sqref>
                        </c15:formulaRef>
                      </c:ext>
                    </c:extLst>
                    <c:numCache>
                      <c:formatCode>General</c:formatCode>
                      <c:ptCount val="1"/>
                      <c:pt idx="0">
                        <c:v>7.6639999999999997</c:v>
                      </c:pt>
                    </c:numCache>
                  </c:numRef>
                </c:val>
                <c:smooth val="0"/>
                <c:extLst xmlns:c16r2="http://schemas.microsoft.com/office/drawing/2015/06/chart">
                  <c:ext xmlns:c16="http://schemas.microsoft.com/office/drawing/2014/chart" uri="{C3380CC4-5D6E-409C-BE32-E72D297353CC}">
                    <c16:uniqueId val="{00000000-24DA-44D1-8E66-B005AD6EA11C}"/>
                  </c:ext>
                </c:extLst>
              </c15:ser>
            </c15:filteredLineSeries>
          </c:ext>
        </c:extLst>
      </c:lineChart>
      <c:catAx>
        <c:axId val="465044576"/>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Time </a:t>
                </a:r>
                <a:r>
                  <a:rPr lang="en-GB"/>
                  <a:t> </a:t>
                </a:r>
                <a:r>
                  <a:rPr lang="en-GB" baseline="0"/>
                  <a:t>(S)</a:t>
                </a:r>
                <a:endParaRPr lang="en-GB"/>
              </a:p>
            </c:rich>
          </c:tx>
          <c:layout>
            <c:manualLayout>
              <c:xMode val="edge"/>
              <c:yMode val="edge"/>
              <c:x val="0.49753207969592339"/>
              <c:y val="0.8738770974815770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3400"/>
        <c:crosses val="autoZero"/>
        <c:auto val="1"/>
        <c:lblAlgn val="ctr"/>
        <c:lblOffset val="100"/>
        <c:noMultiLvlLbl val="0"/>
      </c:catAx>
      <c:valAx>
        <c:axId val="465043400"/>
        <c:scaling>
          <c:orientation val="minMax"/>
          <c:max val="55"/>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4576"/>
        <c:crosses val="autoZero"/>
        <c:crossBetween val="between"/>
      </c:valAx>
      <c:spPr>
        <a:noFill/>
        <a:ln>
          <a:noFill/>
        </a:ln>
        <a:effectLst/>
      </c:spPr>
    </c:plotArea>
    <c:legend>
      <c:legendPos val="b"/>
      <c:layout>
        <c:manualLayout>
          <c:xMode val="edge"/>
          <c:yMode val="edge"/>
          <c:x val="0.87960851628861692"/>
          <c:y val="0.34675361887222145"/>
          <c:w val="0.10725216495771771"/>
          <c:h val="0.14987557481791755"/>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Sheet1!$L$5:$L$31</c:f>
              <c:numCache>
                <c:formatCode>General</c:formatCode>
                <c:ptCount val="27"/>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0</c:v>
                </c:pt>
              </c:numCache>
            </c:numRef>
          </c:cat>
          <c:val>
            <c:numRef>
              <c:f>Sheet1!$Z$5:$Z$31</c:f>
              <c:numCache>
                <c:formatCode>General</c:formatCode>
                <c:ptCount val="27"/>
                <c:pt idx="0">
                  <c:v>0</c:v>
                </c:pt>
                <c:pt idx="1">
                  <c:v>1</c:v>
                </c:pt>
                <c:pt idx="2">
                  <c:v>0</c:v>
                </c:pt>
                <c:pt idx="3">
                  <c:v>0</c:v>
                </c:pt>
                <c:pt idx="4">
                  <c:v>0</c:v>
                </c:pt>
                <c:pt idx="5">
                  <c:v>1</c:v>
                </c:pt>
                <c:pt idx="6">
                  <c:v>1</c:v>
                </c:pt>
                <c:pt idx="7">
                  <c:v>1</c:v>
                </c:pt>
                <c:pt idx="8">
                  <c:v>1</c:v>
                </c:pt>
                <c:pt idx="9">
                  <c:v>0</c:v>
                </c:pt>
                <c:pt idx="10">
                  <c:v>1</c:v>
                </c:pt>
                <c:pt idx="11">
                  <c:v>1</c:v>
                </c:pt>
                <c:pt idx="12">
                  <c:v>0</c:v>
                </c:pt>
                <c:pt idx="13">
                  <c:v>1</c:v>
                </c:pt>
                <c:pt idx="14">
                  <c:v>0</c:v>
                </c:pt>
                <c:pt idx="15">
                  <c:v>1</c:v>
                </c:pt>
                <c:pt idx="16">
                  <c:v>0</c:v>
                </c:pt>
                <c:pt idx="17">
                  <c:v>1</c:v>
                </c:pt>
                <c:pt idx="18">
                  <c:v>1</c:v>
                </c:pt>
                <c:pt idx="19">
                  <c:v>1</c:v>
                </c:pt>
                <c:pt idx="20">
                  <c:v>0</c:v>
                </c:pt>
                <c:pt idx="21">
                  <c:v>0</c:v>
                </c:pt>
                <c:pt idx="22">
                  <c:v>0</c:v>
                </c:pt>
                <c:pt idx="23">
                  <c:v>0</c:v>
                </c:pt>
                <c:pt idx="24">
                  <c:v>1</c:v>
                </c:pt>
                <c:pt idx="25">
                  <c:v>0</c:v>
                </c:pt>
                <c:pt idx="26">
                  <c:v>0</c:v>
                </c:pt>
              </c:numCache>
            </c:numRef>
          </c:val>
          <c:extLst xmlns:c16r2="http://schemas.microsoft.com/office/drawing/2015/06/chart">
            <c:ext xmlns:c16="http://schemas.microsoft.com/office/drawing/2014/chart" uri="{C3380CC4-5D6E-409C-BE32-E72D297353CC}">
              <c16:uniqueId val="{00000000-4F8B-4D0E-B483-EB608F3BBD41}"/>
            </c:ext>
          </c:extLst>
        </c:ser>
        <c:dLbls>
          <c:showLegendKey val="0"/>
          <c:showVal val="0"/>
          <c:showCatName val="0"/>
          <c:showSerName val="0"/>
          <c:showPercent val="0"/>
          <c:showBubbleSize val="0"/>
        </c:dLbls>
        <c:gapWidth val="150"/>
        <c:axId val="465048496"/>
        <c:axId val="465048888"/>
      </c:barChart>
      <c:catAx>
        <c:axId val="465048496"/>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8888"/>
        <c:crosses val="autoZero"/>
        <c:auto val="1"/>
        <c:lblAlgn val="ctr"/>
        <c:lblOffset val="100"/>
        <c:noMultiLvlLbl val="0"/>
      </c:catAx>
      <c:valAx>
        <c:axId val="465048888"/>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48496"/>
        <c:crosses val="autoZero"/>
        <c:crossBetween val="between"/>
      </c:valAx>
      <c:spPr>
        <a:no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u="sng"/>
              <a:t>Aerodynamic Resistance</a:t>
            </a:r>
            <a:r>
              <a:rPr lang="en-US" u="sng" baseline="0"/>
              <a:t> Time Graph </a:t>
            </a:r>
            <a:endParaRPr lang="en-US"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Sheet1!$AA$4</c:f>
              <c:strCache>
                <c:ptCount val="1"/>
                <c:pt idx="0">
                  <c:v>Aerodynamic Resistance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xmlns:c16r2="http://schemas.microsoft.com/office/drawing/2015/06/chart">
            <c:ext xmlns:c16="http://schemas.microsoft.com/office/drawing/2014/chart" uri="{C3380CC4-5D6E-409C-BE32-E72D297353CC}">
              <c16:uniqueId val="{00000000-5056-4596-B245-971CE40A9A8B}"/>
            </c:ext>
          </c:extLst>
        </c:ser>
        <c:dLbls>
          <c:showLegendKey val="0"/>
          <c:showVal val="0"/>
          <c:showCatName val="0"/>
          <c:showSerName val="0"/>
          <c:showPercent val="0"/>
          <c:showBubbleSize val="0"/>
        </c:dLbls>
        <c:axId val="465050456"/>
        <c:axId val="465055160"/>
      </c:scatterChart>
      <c:valAx>
        <c:axId val="46505045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5160"/>
        <c:crosses val="autoZero"/>
        <c:crossBetween val="midCat"/>
        <c:majorUnit val="5"/>
      </c:valAx>
      <c:valAx>
        <c:axId val="4650551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Resistance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04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Rolling</a:t>
            </a:r>
            <a:r>
              <a:rPr lang="en-GB" u="sng" baseline="0"/>
              <a:t> Resistance Time Graph </a:t>
            </a:r>
            <a:endParaRPr lang="en-GB"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Sheet1!$AB$4</c:f>
              <c:strCache>
                <c:ptCount val="1"/>
                <c:pt idx="0">
                  <c:v>Rolling Drag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xmlns:c16r2="http://schemas.microsoft.com/office/drawing/2015/06/chart">
            <c:ext xmlns:c16="http://schemas.microsoft.com/office/drawing/2014/chart" uri="{C3380CC4-5D6E-409C-BE32-E72D297353CC}">
              <c16:uniqueId val="{00000000-0CC4-436C-BA5E-F6B2EE6ADBD7}"/>
            </c:ext>
          </c:extLst>
        </c:ser>
        <c:dLbls>
          <c:showLegendKey val="0"/>
          <c:showVal val="0"/>
          <c:showCatName val="0"/>
          <c:showSerName val="0"/>
          <c:showPercent val="0"/>
          <c:showBubbleSize val="0"/>
        </c:dLbls>
        <c:axId val="465052416"/>
        <c:axId val="465054768"/>
      </c:scatterChart>
      <c:valAx>
        <c:axId val="46505241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4768"/>
        <c:crosses val="autoZero"/>
        <c:crossBetween val="midCat"/>
        <c:majorUnit val="5"/>
      </c:valAx>
      <c:valAx>
        <c:axId val="465054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Rolling</a:t>
                </a:r>
                <a:r>
                  <a:rPr lang="en-GB" baseline="0"/>
                  <a:t> Resistance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24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Gradient</a:t>
            </a:r>
            <a:r>
              <a:rPr lang="en-GB" u="sng" baseline="0"/>
              <a:t>  Time  Graph </a:t>
            </a:r>
            <a:endParaRPr lang="en-GB"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Sheet1!$Q$4</c:f>
              <c:strCache>
                <c:ptCount val="1"/>
                <c:pt idx="0">
                  <c:v>Gradiant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Sheet1!$Q$5:$Q$31</c:f>
              <c:numCache>
                <c:formatCode>General</c:formatCode>
                <c:ptCount val="27"/>
                <c:pt idx="0">
                  <c:v>0</c:v>
                </c:pt>
                <c:pt idx="1">
                  <c:v>7.1272878819970913</c:v>
                </c:pt>
                <c:pt idx="2">
                  <c:v>4.1706479118615389</c:v>
                </c:pt>
                <c:pt idx="3">
                  <c:v>-3.9592874494513626</c:v>
                </c:pt>
                <c:pt idx="4">
                  <c:v>-4.0960437581523328</c:v>
                </c:pt>
                <c:pt idx="5">
                  <c:v>-8.0478462473115151</c:v>
                </c:pt>
                <c:pt idx="6">
                  <c:v>-14.477512185929925</c:v>
                </c:pt>
                <c:pt idx="7">
                  <c:v>0</c:v>
                </c:pt>
                <c:pt idx="8">
                  <c:v>-7.4947174539266861</c:v>
                </c:pt>
                <c:pt idx="9">
                  <c:v>-7.3540352103988331</c:v>
                </c:pt>
                <c:pt idx="10">
                  <c:v>0</c:v>
                </c:pt>
                <c:pt idx="11">
                  <c:v>7.3714758533336164</c:v>
                </c:pt>
                <c:pt idx="12">
                  <c:v>6.6997651777601872</c:v>
                </c:pt>
                <c:pt idx="13">
                  <c:v>9.2068962213459002</c:v>
                </c:pt>
                <c:pt idx="14">
                  <c:v>3.8225537292743441</c:v>
                </c:pt>
                <c:pt idx="15">
                  <c:v>6.8921025793463802</c:v>
                </c:pt>
                <c:pt idx="16">
                  <c:v>-1.9932987419679011</c:v>
                </c:pt>
                <c:pt idx="17">
                  <c:v>-5.5088786712030746</c:v>
                </c:pt>
                <c:pt idx="18">
                  <c:v>-7.6140817395938853</c:v>
                </c:pt>
                <c:pt idx="19">
                  <c:v>-8.0478462473115151</c:v>
                </c:pt>
                <c:pt idx="20">
                  <c:v>6.3153155693573835</c:v>
                </c:pt>
                <c:pt idx="21">
                  <c:v>-8.6269265586786386</c:v>
                </c:pt>
                <c:pt idx="22">
                  <c:v>0</c:v>
                </c:pt>
                <c:pt idx="23">
                  <c:v>-6.8477101777828731</c:v>
                </c:pt>
                <c:pt idx="24">
                  <c:v>-3.0708868110748648</c:v>
                </c:pt>
                <c:pt idx="25">
                  <c:v>4.5247019004531444</c:v>
                </c:pt>
                <c:pt idx="26">
                  <c:v>5.7391704772667866</c:v>
                </c:pt>
              </c:numCache>
            </c:numRef>
          </c:val>
          <c:smooth val="0"/>
          <c:extLst xmlns:c16r2="http://schemas.microsoft.com/office/drawing/2015/06/chart">
            <c:ext xmlns:c16="http://schemas.microsoft.com/office/drawing/2014/chart" uri="{C3380CC4-5D6E-409C-BE32-E72D297353CC}">
              <c16:uniqueId val="{00000000-D658-43DE-9A43-8A9FBA052C8D}"/>
            </c:ext>
          </c:extLst>
        </c:ser>
        <c:dLbls>
          <c:showLegendKey val="0"/>
          <c:showVal val="0"/>
          <c:showCatName val="0"/>
          <c:showSerName val="0"/>
          <c:showPercent val="0"/>
          <c:showBubbleSize val="0"/>
        </c:dLbls>
        <c:marker val="1"/>
        <c:smooth val="0"/>
        <c:axId val="465054376"/>
        <c:axId val="465053984"/>
      </c:lineChart>
      <c:catAx>
        <c:axId val="46505437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3984"/>
        <c:crosses val="autoZero"/>
        <c:auto val="1"/>
        <c:lblAlgn val="ctr"/>
        <c:lblOffset val="100"/>
        <c:noMultiLvlLbl val="0"/>
      </c:catAx>
      <c:valAx>
        <c:axId val="465053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Gradient (</a:t>
                </a:r>
                <a:r>
                  <a:rPr lang="en-GB">
                    <a:latin typeface="Times New Roman" panose="02020603050405020304" pitchFamily="18" charset="0"/>
                    <a:cs typeface="Times New Roman" panose="02020603050405020304" pitchFamily="18" charset="0"/>
                  </a:rPr>
                  <a:t>º)</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43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a:t>
            </a:r>
            <a:r>
              <a:rPr lang="en-GB" baseline="0"/>
              <a:t> Vehicle resistance Time Graph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6229836412565369E-2"/>
          <c:y val="9.8706083469644254E-2"/>
          <c:w val="0.92846810727082474"/>
          <c:h val="0.78312523128852274"/>
        </c:manualLayout>
      </c:layout>
      <c:scatterChart>
        <c:scatterStyle val="lineMarker"/>
        <c:varyColors val="0"/>
        <c:ser>
          <c:idx val="1"/>
          <c:order val="0"/>
          <c:tx>
            <c:strRef>
              <c:f>Sheet1!$AA$4</c:f>
              <c:strCache>
                <c:ptCount val="1"/>
                <c:pt idx="0">
                  <c:v>Aerodynamic Resistance (N)</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xmlns:c16r2="http://schemas.microsoft.com/office/drawing/2015/06/chart">
            <c:ext xmlns:c16="http://schemas.microsoft.com/office/drawing/2014/chart" uri="{C3380CC4-5D6E-409C-BE32-E72D297353CC}">
              <c16:uniqueId val="{00000000-FFD1-41FF-92F5-79ABC59423A0}"/>
            </c:ext>
          </c:extLst>
        </c:ser>
        <c:ser>
          <c:idx val="2"/>
          <c:order val="1"/>
          <c:tx>
            <c:strRef>
              <c:f>Sheet1!$AB$4</c:f>
              <c:strCache>
                <c:ptCount val="1"/>
                <c:pt idx="0">
                  <c:v>Rolling Drag (N)</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xmlns:c16r2="http://schemas.microsoft.com/office/drawing/2015/06/chart">
            <c:ext xmlns:c16="http://schemas.microsoft.com/office/drawing/2014/chart" uri="{C3380CC4-5D6E-409C-BE32-E72D297353CC}">
              <c16:uniqueId val="{00000001-FFD1-41FF-92F5-79ABC59423A0}"/>
            </c:ext>
          </c:extLst>
        </c:ser>
        <c:ser>
          <c:idx val="3"/>
          <c:order val="2"/>
          <c:tx>
            <c:strRef>
              <c:f>Sheet1!$AC$4</c:f>
              <c:strCache>
                <c:ptCount val="1"/>
                <c:pt idx="0">
                  <c:v>Grading Resistance (N)</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xmlns:c16r2="http://schemas.microsoft.com/office/drawing/2015/06/chart">
            <c:ext xmlns:c16="http://schemas.microsoft.com/office/drawing/2014/chart" uri="{C3380CC4-5D6E-409C-BE32-E72D297353CC}">
              <c16:uniqueId val="{00000002-FFD1-41FF-92F5-79ABC59423A0}"/>
            </c:ext>
          </c:extLst>
        </c:ser>
        <c:ser>
          <c:idx val="0"/>
          <c:order val="3"/>
          <c:tx>
            <c:strRef>
              <c:f>Sheet1!$AD$4</c:f>
              <c:strCache>
                <c:ptCount val="1"/>
                <c:pt idx="0">
                  <c:v>Total Vehicle Resistance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Sheet1!$AD$5:$AD$31</c:f>
              <c:numCache>
                <c:formatCode>General</c:formatCode>
                <c:ptCount val="27"/>
                <c:pt idx="0">
                  <c:v>451.26</c:v>
                </c:pt>
                <c:pt idx="1">
                  <c:v>4778.4620810602128</c:v>
                </c:pt>
                <c:pt idx="2">
                  <c:v>1654.3630794438363</c:v>
                </c:pt>
                <c:pt idx="3">
                  <c:v>-2960.5250377949328</c:v>
                </c:pt>
                <c:pt idx="4">
                  <c:v>-4075.0490269928764</c:v>
                </c:pt>
                <c:pt idx="5">
                  <c:v>-3208.8180271364517</c:v>
                </c:pt>
                <c:pt idx="6">
                  <c:v>-223.08710321380528</c:v>
                </c:pt>
                <c:pt idx="7">
                  <c:v>451.88688170603348</c:v>
                </c:pt>
                <c:pt idx="8">
                  <c:v>-4178.5665795100795</c:v>
                </c:pt>
                <c:pt idx="9">
                  <c:v>-1622.3873574437487</c:v>
                </c:pt>
                <c:pt idx="10">
                  <c:v>466.93204265083773</c:v>
                </c:pt>
                <c:pt idx="11">
                  <c:v>6102.2050197376129</c:v>
                </c:pt>
                <c:pt idx="12">
                  <c:v>3693.4372403833599</c:v>
                </c:pt>
                <c:pt idx="13">
                  <c:v>-1426.1422707473821</c:v>
                </c:pt>
                <c:pt idx="14">
                  <c:v>-4316.6622179348515</c:v>
                </c:pt>
                <c:pt idx="15">
                  <c:v>-4033.0519079696542</c:v>
                </c:pt>
                <c:pt idx="16">
                  <c:v>-4573.967222089741</c:v>
                </c:pt>
                <c:pt idx="17">
                  <c:v>-5120.7545690354591</c:v>
                </c:pt>
                <c:pt idx="18">
                  <c:v>-1797.5878197009579</c:v>
                </c:pt>
                <c:pt idx="19">
                  <c:v>-3099.1137285805876</c:v>
                </c:pt>
                <c:pt idx="20">
                  <c:v>-2874.1935299691672</c:v>
                </c:pt>
                <c:pt idx="21">
                  <c:v>5022.3237338780937</c:v>
                </c:pt>
                <c:pt idx="22">
                  <c:v>111.44563662817941</c:v>
                </c:pt>
                <c:pt idx="23">
                  <c:v>-1461.5878218237344</c:v>
                </c:pt>
                <c:pt idx="24">
                  <c:v>403.02976833671084</c:v>
                </c:pt>
                <c:pt idx="25">
                  <c:v>6191.5699188143262</c:v>
                </c:pt>
                <c:pt idx="26">
                  <c:v>5418.6734281567642</c:v>
                </c:pt>
              </c:numCache>
            </c:numRef>
          </c:yVal>
          <c:smooth val="0"/>
          <c:extLst xmlns:c16r2="http://schemas.microsoft.com/office/drawing/2015/06/chart">
            <c:ext xmlns:c16="http://schemas.microsoft.com/office/drawing/2014/chart" uri="{C3380CC4-5D6E-409C-BE32-E72D297353CC}">
              <c16:uniqueId val="{00000000-0108-473E-B520-31012608EF86}"/>
            </c:ext>
          </c:extLst>
        </c:ser>
        <c:dLbls>
          <c:showLegendKey val="0"/>
          <c:showVal val="0"/>
          <c:showCatName val="0"/>
          <c:showSerName val="0"/>
          <c:showPercent val="0"/>
          <c:showBubbleSize val="0"/>
        </c:dLbls>
        <c:axId val="465053592"/>
        <c:axId val="467057088"/>
      </c:scatterChart>
      <c:valAx>
        <c:axId val="465053592"/>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057088"/>
        <c:crosses val="autoZero"/>
        <c:crossBetween val="midCat"/>
        <c:majorUnit val="5"/>
      </c:valAx>
      <c:valAx>
        <c:axId val="467057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effectLst/>
                  </a:rPr>
                  <a:t>Total Vehicle resistance (N)</a:t>
                </a:r>
                <a:endParaRPr lang="en-GB" sz="7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5053592"/>
        <c:crosses val="autoZero"/>
        <c:crossBetween val="midCat"/>
      </c:valAx>
      <c:spPr>
        <a:noFill/>
        <a:ln>
          <a:noFill/>
        </a:ln>
        <a:effectLst/>
      </c:spPr>
    </c:plotArea>
    <c:legend>
      <c:legendPos val="r"/>
      <c:layout>
        <c:manualLayout>
          <c:xMode val="edge"/>
          <c:yMode val="edge"/>
          <c:x val="0.8557447059283988"/>
          <c:y val="0.63384727057540602"/>
          <c:w val="0.12535320580900344"/>
          <c:h val="0.19028125103464288"/>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800" b="0" i="0" u="sng" baseline="0">
                <a:effectLst/>
              </a:rPr>
              <a:t>Acceleration Time Graph </a:t>
            </a:r>
            <a:endParaRPr lang="en-GB" u="sng">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722389649695999E-2"/>
          <c:y val="0.15375476731411478"/>
          <c:w val="0.9373621033509395"/>
          <c:h val="0.64780815315628426"/>
        </c:manualLayout>
      </c:layout>
      <c:scatterChart>
        <c:scatterStyle val="lineMarker"/>
        <c:varyColors val="0"/>
        <c:ser>
          <c:idx val="0"/>
          <c:order val="0"/>
          <c:tx>
            <c:strRef>
              <c:f>Sheet1!$X$4</c:f>
              <c:strCache>
                <c:ptCount val="1"/>
                <c:pt idx="0">
                  <c:v>Acceleration m/s²</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Sheet1!$X$5:$X$31</c:f>
              <c:numCache>
                <c:formatCode>General</c:formatCode>
                <c:ptCount val="27"/>
                <c:pt idx="0">
                  <c:v>0</c:v>
                </c:pt>
                <c:pt idx="1">
                  <c:v>5.9209890052933121</c:v>
                </c:pt>
                <c:pt idx="2">
                  <c:v>-0.52986123200778212</c:v>
                </c:pt>
                <c:pt idx="3">
                  <c:v>-1.4273812780617807</c:v>
                </c:pt>
                <c:pt idx="4">
                  <c:v>-1.4273812780617805</c:v>
                </c:pt>
                <c:pt idx="5">
                  <c:v>-0.99916689464324637</c:v>
                </c:pt>
                <c:pt idx="6">
                  <c:v>-0.19983337892864925</c:v>
                </c:pt>
                <c:pt idx="7">
                  <c:v>9.9916689464324623E-2</c:v>
                </c:pt>
                <c:pt idx="8">
                  <c:v>2.3458701004667528</c:v>
                </c:pt>
                <c:pt idx="9">
                  <c:v>-1.5986670314291944</c:v>
                </c:pt>
                <c:pt idx="10">
                  <c:v>-0.74937517098243467</c:v>
                </c:pt>
                <c:pt idx="11">
                  <c:v>3.7704411118613068</c:v>
                </c:pt>
                <c:pt idx="12">
                  <c:v>-2.9142367760428014</c:v>
                </c:pt>
                <c:pt idx="13">
                  <c:v>0</c:v>
                </c:pt>
                <c:pt idx="14">
                  <c:v>0</c:v>
                </c:pt>
                <c:pt idx="15">
                  <c:v>0.79933351571459699</c:v>
                </c:pt>
                <c:pt idx="16">
                  <c:v>-1.7376815559012981</c:v>
                </c:pt>
                <c:pt idx="17">
                  <c:v>0.99916689464324615</c:v>
                </c:pt>
                <c:pt idx="18">
                  <c:v>1.7485420656256816</c:v>
                </c:pt>
                <c:pt idx="19">
                  <c:v>3.9966675785729846</c:v>
                </c:pt>
                <c:pt idx="20">
                  <c:v>0</c:v>
                </c:pt>
                <c:pt idx="21">
                  <c:v>0</c:v>
                </c:pt>
                <c:pt idx="22">
                  <c:v>0</c:v>
                </c:pt>
                <c:pt idx="23">
                  <c:v>-2.8822121960862876</c:v>
                </c:pt>
                <c:pt idx="24">
                  <c:v>1.0705359585463361</c:v>
                </c:pt>
                <c:pt idx="25">
                  <c:v>0.88814835079399657</c:v>
                </c:pt>
                <c:pt idx="26">
                  <c:v>0</c:v>
                </c:pt>
              </c:numCache>
            </c:numRef>
          </c:yVal>
          <c:smooth val="0"/>
          <c:extLst xmlns:c16r2="http://schemas.microsoft.com/office/drawing/2015/06/chart">
            <c:ext xmlns:c16="http://schemas.microsoft.com/office/drawing/2014/chart" uri="{C3380CC4-5D6E-409C-BE32-E72D297353CC}">
              <c16:uniqueId val="{00000000-95ED-4C8B-A05D-6B31AC9CF203}"/>
            </c:ext>
          </c:extLst>
        </c:ser>
        <c:ser>
          <c:idx val="1"/>
          <c:order val="1"/>
          <c:tx>
            <c:strRef>
              <c:f>Sheet1!$E$25</c:f>
              <c:strCache>
                <c:ptCount val="1"/>
                <c:pt idx="0">
                  <c:v>Max Acceleration m/s²</c:v>
                </c:pt>
              </c:strCache>
            </c:strRef>
          </c:tx>
          <c:spPr>
            <a:ln w="19050" cap="rnd">
              <a:solidFill>
                <a:schemeClr val="accent2"/>
              </a:solidFill>
              <a:round/>
            </a:ln>
            <a:effectLst/>
          </c:spPr>
          <c:marker>
            <c:symbol val="none"/>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Sheet1!$Y$5:$Y$31</c:f>
              <c:numCache>
                <c:formatCode>General</c:formatCode>
                <c:ptCount val="27"/>
                <c:pt idx="0">
                  <c:v>7.6639999999999997</c:v>
                </c:pt>
                <c:pt idx="1">
                  <c:v>7.6639999999999997</c:v>
                </c:pt>
                <c:pt idx="2">
                  <c:v>7.6639999999999997</c:v>
                </c:pt>
                <c:pt idx="3">
                  <c:v>7.6639999999999997</c:v>
                </c:pt>
                <c:pt idx="4">
                  <c:v>7.6639999999999997</c:v>
                </c:pt>
                <c:pt idx="5">
                  <c:v>7.6639999999999997</c:v>
                </c:pt>
                <c:pt idx="6">
                  <c:v>7.6639999999999997</c:v>
                </c:pt>
                <c:pt idx="7">
                  <c:v>7.6639999999999997</c:v>
                </c:pt>
                <c:pt idx="8">
                  <c:v>7.6639999999999997</c:v>
                </c:pt>
                <c:pt idx="9">
                  <c:v>7.6639999999999997</c:v>
                </c:pt>
                <c:pt idx="10">
                  <c:v>7.6639999999999997</c:v>
                </c:pt>
                <c:pt idx="11">
                  <c:v>7.6639999999999997</c:v>
                </c:pt>
                <c:pt idx="12">
                  <c:v>7.6639999999999997</c:v>
                </c:pt>
                <c:pt idx="13">
                  <c:v>7.6639999999999997</c:v>
                </c:pt>
                <c:pt idx="14">
                  <c:v>7.6639999999999997</c:v>
                </c:pt>
                <c:pt idx="15">
                  <c:v>7.6639999999999997</c:v>
                </c:pt>
                <c:pt idx="16">
                  <c:v>7.6639999999999997</c:v>
                </c:pt>
                <c:pt idx="17">
                  <c:v>7.6639999999999997</c:v>
                </c:pt>
                <c:pt idx="18">
                  <c:v>7.6639999999999997</c:v>
                </c:pt>
                <c:pt idx="19">
                  <c:v>7.6639999999999997</c:v>
                </c:pt>
                <c:pt idx="20">
                  <c:v>7.6639999999999997</c:v>
                </c:pt>
                <c:pt idx="21">
                  <c:v>7.6639999999999997</c:v>
                </c:pt>
                <c:pt idx="22">
                  <c:v>7.6639999999999997</c:v>
                </c:pt>
                <c:pt idx="23">
                  <c:v>7.6639999999999997</c:v>
                </c:pt>
                <c:pt idx="24">
                  <c:v>7.6639999999999997</c:v>
                </c:pt>
                <c:pt idx="25">
                  <c:v>7.6639999999999997</c:v>
                </c:pt>
                <c:pt idx="26">
                  <c:v>7.6639999999999997</c:v>
                </c:pt>
              </c:numCache>
            </c:numRef>
          </c:yVal>
          <c:smooth val="0"/>
          <c:extLst xmlns:c16r2="http://schemas.microsoft.com/office/drawing/2015/06/chart">
            <c:ext xmlns:c16="http://schemas.microsoft.com/office/drawing/2014/chart" uri="{C3380CC4-5D6E-409C-BE32-E72D297353CC}">
              <c16:uniqueId val="{00000002-95ED-4C8B-A05D-6B31AC9CF203}"/>
            </c:ext>
          </c:extLst>
        </c:ser>
        <c:dLbls>
          <c:showLegendKey val="0"/>
          <c:showVal val="0"/>
          <c:showCatName val="0"/>
          <c:showSerName val="0"/>
          <c:showPercent val="0"/>
          <c:showBubbleSize val="0"/>
        </c:dLbls>
        <c:axId val="467063360"/>
        <c:axId val="467056304"/>
      </c:scatterChart>
      <c:valAx>
        <c:axId val="467063360"/>
        <c:scaling>
          <c:orientation val="minMax"/>
          <c:max val="68"/>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800" b="0" i="0" baseline="0">
                    <a:effectLst/>
                  </a:rPr>
                  <a:t>Time (s)</a:t>
                </a:r>
                <a:endParaRPr lang="en-GB">
                  <a:effectLst/>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056304"/>
        <c:crosses val="autoZero"/>
        <c:crossBetween val="midCat"/>
        <c:majorUnit val="2"/>
      </c:valAx>
      <c:valAx>
        <c:axId val="4670563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800" b="0" i="0" baseline="0">
                    <a:effectLst/>
                  </a:rPr>
                  <a:t>Acceleration (m/s</a:t>
                </a:r>
                <a:r>
                  <a:rPr lang="en-GB" sz="1800" b="0" i="0" baseline="0">
                    <a:effectLst/>
                    <a:latin typeface="Times New Roman" panose="02020603050405020304" pitchFamily="18" charset="0"/>
                    <a:cs typeface="Times New Roman" panose="02020603050405020304" pitchFamily="18" charset="0"/>
                  </a:rPr>
                  <a:t>²</a:t>
                </a:r>
                <a:r>
                  <a:rPr lang="en-GB" sz="1800" b="0" i="0" baseline="0">
                    <a:effectLst/>
                  </a:rPr>
                  <a:t>)</a:t>
                </a:r>
                <a:endParaRPr lang="en-GB">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063360"/>
        <c:crosses val="autoZero"/>
        <c:crossBetween val="midCat"/>
      </c:valAx>
      <c:spPr>
        <a:noFill/>
        <a:ln>
          <a:noFill/>
        </a:ln>
        <a:effectLst/>
      </c:spPr>
    </c:plotArea>
    <c:legend>
      <c:legendPos val="r"/>
      <c:layout>
        <c:manualLayout>
          <c:xMode val="edge"/>
          <c:yMode val="edge"/>
          <c:x val="0.87005860612217745"/>
          <c:y val="0.3154299891638514"/>
          <c:w val="0.10577475411449831"/>
          <c:h val="0.12362727456008613"/>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u="sng"/>
              <a:t>Grading Resistance Time</a:t>
            </a:r>
            <a:r>
              <a:rPr lang="en-US" u="sng" baseline="0"/>
              <a:t> Graph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Sheet1!$AC$4</c:f>
              <c:strCache>
                <c:ptCount val="1"/>
                <c:pt idx="0">
                  <c:v>Grading Resistance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xmlns:c16r2="http://schemas.microsoft.com/office/drawing/2015/06/chart">
            <c:ext xmlns:c16="http://schemas.microsoft.com/office/drawing/2014/chart" uri="{C3380CC4-5D6E-409C-BE32-E72D297353CC}">
              <c16:uniqueId val="{00000000-1109-4706-8AC5-1EF9CD84F824}"/>
            </c:ext>
          </c:extLst>
        </c:ser>
        <c:dLbls>
          <c:showLegendKey val="0"/>
          <c:showVal val="0"/>
          <c:showCatName val="0"/>
          <c:showSerName val="0"/>
          <c:showPercent val="0"/>
          <c:showBubbleSize val="0"/>
        </c:dLbls>
        <c:axId val="467054736"/>
        <c:axId val="467063752"/>
      </c:scatterChart>
      <c:valAx>
        <c:axId val="46705473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063752"/>
        <c:crosses val="autoZero"/>
        <c:crossBetween val="midCat"/>
        <c:majorUnit val="5"/>
      </c:valAx>
      <c:valAx>
        <c:axId val="4670637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0" i="0" baseline="0">
                    <a:effectLst/>
                  </a:rPr>
                  <a:t>Grading Resistance (N)</a:t>
                </a:r>
                <a:endParaRPr lang="en-GB" sz="7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0547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0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30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30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12" Type="http://schemas.openxmlformats.org/officeDocument/2006/relationships/chart" Target="../charts/chart9.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11" Type="http://schemas.openxmlformats.org/officeDocument/2006/relationships/image" Target="../media/image3.png"/><Relationship Id="rId5" Type="http://schemas.openxmlformats.org/officeDocument/2006/relationships/chart" Target="../charts/chart4.xml"/><Relationship Id="rId10" Type="http://schemas.openxmlformats.org/officeDocument/2006/relationships/image" Target="../media/image2.jpeg"/><Relationship Id="rId4" Type="http://schemas.openxmlformats.org/officeDocument/2006/relationships/chart" Target="../charts/chart3.xml"/><Relationship Id="rId9" Type="http://schemas.openxmlformats.org/officeDocument/2006/relationships/chart" Target="../charts/chart8.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6.xml"/><Relationship Id="rId13" Type="http://schemas.openxmlformats.org/officeDocument/2006/relationships/chart" Target="../charts/chart19.xml"/><Relationship Id="rId3" Type="http://schemas.openxmlformats.org/officeDocument/2006/relationships/chart" Target="../charts/chart11.xml"/><Relationship Id="rId7" Type="http://schemas.openxmlformats.org/officeDocument/2006/relationships/chart" Target="../charts/chart15.xml"/><Relationship Id="rId12" Type="http://schemas.openxmlformats.org/officeDocument/2006/relationships/chart" Target="../charts/chart18.xml"/><Relationship Id="rId2" Type="http://schemas.openxmlformats.org/officeDocument/2006/relationships/chart" Target="../charts/chart10.xml"/><Relationship Id="rId1" Type="http://schemas.openxmlformats.org/officeDocument/2006/relationships/image" Target="../media/image1.png"/><Relationship Id="rId6" Type="http://schemas.openxmlformats.org/officeDocument/2006/relationships/chart" Target="../charts/chart14.xml"/><Relationship Id="rId11" Type="http://schemas.openxmlformats.org/officeDocument/2006/relationships/image" Target="../media/image3.png"/><Relationship Id="rId5" Type="http://schemas.openxmlformats.org/officeDocument/2006/relationships/chart" Target="../charts/chart13.xml"/><Relationship Id="rId10" Type="http://schemas.openxmlformats.org/officeDocument/2006/relationships/image" Target="../media/image2.jpeg"/><Relationship Id="rId4" Type="http://schemas.openxmlformats.org/officeDocument/2006/relationships/chart" Target="../charts/chart12.xml"/><Relationship Id="rId9" Type="http://schemas.openxmlformats.org/officeDocument/2006/relationships/chart" Target="../charts/chart17.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4.xml"/><Relationship Id="rId13" Type="http://schemas.openxmlformats.org/officeDocument/2006/relationships/image" Target="../media/image4.png"/><Relationship Id="rId18" Type="http://schemas.openxmlformats.org/officeDocument/2006/relationships/chart" Target="../charts/chart29.xml"/><Relationship Id="rId26" Type="http://schemas.openxmlformats.org/officeDocument/2006/relationships/chart" Target="../charts/chart36.xml"/><Relationship Id="rId3" Type="http://schemas.openxmlformats.org/officeDocument/2006/relationships/image" Target="../media/image3.png"/><Relationship Id="rId21" Type="http://schemas.openxmlformats.org/officeDocument/2006/relationships/chart" Target="../charts/chart32.xml"/><Relationship Id="rId34" Type="http://schemas.openxmlformats.org/officeDocument/2006/relationships/chart" Target="../charts/chart43.xml"/><Relationship Id="rId7" Type="http://schemas.openxmlformats.org/officeDocument/2006/relationships/chart" Target="../charts/chart23.xml"/><Relationship Id="rId12" Type="http://schemas.openxmlformats.org/officeDocument/2006/relationships/chart" Target="../charts/chart28.xml"/><Relationship Id="rId17" Type="http://schemas.openxmlformats.org/officeDocument/2006/relationships/image" Target="../media/image8.png"/><Relationship Id="rId25" Type="http://schemas.openxmlformats.org/officeDocument/2006/relationships/chart" Target="../charts/chart35.xml"/><Relationship Id="rId33" Type="http://schemas.openxmlformats.org/officeDocument/2006/relationships/chart" Target="../charts/chart42.xml"/><Relationship Id="rId2" Type="http://schemas.openxmlformats.org/officeDocument/2006/relationships/image" Target="../media/image2.jpeg"/><Relationship Id="rId16" Type="http://schemas.openxmlformats.org/officeDocument/2006/relationships/image" Target="../media/image7.png"/><Relationship Id="rId20" Type="http://schemas.openxmlformats.org/officeDocument/2006/relationships/chart" Target="../charts/chart31.xml"/><Relationship Id="rId29" Type="http://schemas.openxmlformats.org/officeDocument/2006/relationships/chart" Target="../charts/chart39.xml"/><Relationship Id="rId1" Type="http://schemas.openxmlformats.org/officeDocument/2006/relationships/image" Target="../media/image1.png"/><Relationship Id="rId6" Type="http://schemas.openxmlformats.org/officeDocument/2006/relationships/chart" Target="../charts/chart22.xml"/><Relationship Id="rId11" Type="http://schemas.openxmlformats.org/officeDocument/2006/relationships/chart" Target="../charts/chart27.xml"/><Relationship Id="rId24" Type="http://schemas.openxmlformats.org/officeDocument/2006/relationships/chart" Target="../charts/chart34.xml"/><Relationship Id="rId32" Type="http://schemas.openxmlformats.org/officeDocument/2006/relationships/chart" Target="../charts/chart41.xml"/><Relationship Id="rId5" Type="http://schemas.openxmlformats.org/officeDocument/2006/relationships/chart" Target="../charts/chart21.xml"/><Relationship Id="rId15" Type="http://schemas.openxmlformats.org/officeDocument/2006/relationships/image" Target="../media/image6.png"/><Relationship Id="rId23" Type="http://schemas.openxmlformats.org/officeDocument/2006/relationships/image" Target="../media/image9.png"/><Relationship Id="rId28" Type="http://schemas.openxmlformats.org/officeDocument/2006/relationships/chart" Target="../charts/chart38.xml"/><Relationship Id="rId10" Type="http://schemas.openxmlformats.org/officeDocument/2006/relationships/chart" Target="../charts/chart26.xml"/><Relationship Id="rId19" Type="http://schemas.openxmlformats.org/officeDocument/2006/relationships/chart" Target="../charts/chart30.xml"/><Relationship Id="rId31" Type="http://schemas.openxmlformats.org/officeDocument/2006/relationships/image" Target="../media/image10.png"/><Relationship Id="rId4" Type="http://schemas.openxmlformats.org/officeDocument/2006/relationships/chart" Target="../charts/chart20.xml"/><Relationship Id="rId9" Type="http://schemas.openxmlformats.org/officeDocument/2006/relationships/chart" Target="../charts/chart25.xml"/><Relationship Id="rId14" Type="http://schemas.openxmlformats.org/officeDocument/2006/relationships/image" Target="../media/image5.png"/><Relationship Id="rId22" Type="http://schemas.openxmlformats.org/officeDocument/2006/relationships/chart" Target="../charts/chart33.xml"/><Relationship Id="rId27" Type="http://schemas.openxmlformats.org/officeDocument/2006/relationships/chart" Target="../charts/chart37.xml"/><Relationship Id="rId30" Type="http://schemas.openxmlformats.org/officeDocument/2006/relationships/chart" Target="../charts/chart40.xm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chart" Target="../charts/chart45.xml"/><Relationship Id="rId7" Type="http://schemas.openxmlformats.org/officeDocument/2006/relationships/chart" Target="../charts/chart49.xml"/><Relationship Id="rId2" Type="http://schemas.openxmlformats.org/officeDocument/2006/relationships/chart" Target="../charts/chart44.xml"/><Relationship Id="rId1" Type="http://schemas.openxmlformats.org/officeDocument/2006/relationships/image" Target="../media/image1.png"/><Relationship Id="rId6" Type="http://schemas.openxmlformats.org/officeDocument/2006/relationships/chart" Target="../charts/chart48.xml"/><Relationship Id="rId5" Type="http://schemas.openxmlformats.org/officeDocument/2006/relationships/chart" Target="../charts/chart47.xml"/><Relationship Id="rId10" Type="http://schemas.openxmlformats.org/officeDocument/2006/relationships/chart" Target="../charts/chart51.xml"/><Relationship Id="rId4" Type="http://schemas.openxmlformats.org/officeDocument/2006/relationships/chart" Target="../charts/chart46.xml"/><Relationship Id="rId9" Type="http://schemas.openxmlformats.org/officeDocument/2006/relationships/chart" Target="../charts/chart50.xml"/></Relationships>
</file>

<file path=xl/drawings/drawing1.xml><?xml version="1.0" encoding="utf-8"?>
<xdr:wsDr xmlns:xdr="http://schemas.openxmlformats.org/drawingml/2006/spreadsheetDrawing" xmlns:a="http://schemas.openxmlformats.org/drawingml/2006/main">
  <xdr:twoCellAnchor>
    <xdr:from>
      <xdr:col>6</xdr:col>
      <xdr:colOff>47625</xdr:colOff>
      <xdr:row>1</xdr:row>
      <xdr:rowOff>162706</xdr:rowOff>
    </xdr:from>
    <xdr:to>
      <xdr:col>6</xdr:col>
      <xdr:colOff>8202706</xdr:colOff>
      <xdr:row>20</xdr:row>
      <xdr:rowOff>200807</xdr:rowOff>
    </xdr:to>
    <xdr:grpSp>
      <xdr:nvGrpSpPr>
        <xdr:cNvPr id="2" name="Group 25">
          <a:extLst>
            <a:ext uri="{FF2B5EF4-FFF2-40B4-BE49-F238E27FC236}">
              <a16:creationId xmlns="" xmlns:a16="http://schemas.microsoft.com/office/drawing/2014/main" id="{00000000-0008-0000-0000-000002000000}"/>
            </a:ext>
          </a:extLst>
        </xdr:cNvPr>
        <xdr:cNvGrpSpPr>
          <a:grpSpLocks/>
        </xdr:cNvGrpSpPr>
      </xdr:nvGrpSpPr>
      <xdr:grpSpPr bwMode="auto">
        <a:xfrm>
          <a:off x="28743852" y="561024"/>
          <a:ext cx="8155081" cy="4350328"/>
          <a:chOff x="106860975" y="105289350"/>
          <a:chExt cx="6609369" cy="3656334"/>
        </a:xfrm>
      </xdr:grpSpPr>
      <xdr:pic>
        <xdr:nvPicPr>
          <xdr:cNvPr id="3" name="Picture 2">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4" name="AutoShape 27">
            <a:extLst>
              <a:ext uri="{FF2B5EF4-FFF2-40B4-BE49-F238E27FC236}">
                <a16:creationId xmlns="" xmlns:a16="http://schemas.microsoft.com/office/drawing/2014/main" id="{00000000-0008-0000-0000-000004000000}"/>
              </a:ext>
            </a:extLst>
          </xdr:cNvPr>
          <xdr:cNvCxnSpPr>
            <a:cxnSpLocks noChangeShapeType="1"/>
          </xdr:cNvCxnSpPr>
        </xdr:nvCxnSpPr>
        <xdr:spPr bwMode="auto">
          <a:xfrm flipV="1">
            <a:off x="107858743" y="105538878"/>
            <a:ext cx="4608000" cy="0"/>
          </a:xfrm>
          <a:prstGeom prst="straightConnector1">
            <a:avLst/>
          </a:prstGeom>
          <a:noFill/>
          <a:ln w="22225">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5" name="AutoShape 28">
            <a:extLst>
              <a:ext uri="{FF2B5EF4-FFF2-40B4-BE49-F238E27FC236}">
                <a16:creationId xmlns="" xmlns:a16="http://schemas.microsoft.com/office/drawing/2014/main" id="{00000000-0008-0000-0000-000005000000}"/>
              </a:ext>
            </a:extLst>
          </xdr:cNvPr>
          <xdr:cNvCxnSpPr>
            <a:cxnSpLocks noChangeShapeType="1"/>
          </xdr:cNvCxnSpPr>
        </xdr:nvCxnSpPr>
        <xdr:spPr bwMode="auto">
          <a:xfrm flipV="1">
            <a:off x="107833405" y="108815290"/>
            <a:ext cx="4608000" cy="0"/>
          </a:xfrm>
          <a:prstGeom prst="straightConnector1">
            <a:avLst/>
          </a:prstGeom>
          <a:noFill/>
          <a:ln w="22225"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6" name="AutoShape 29">
            <a:extLst>
              <a:ext uri="{FF2B5EF4-FFF2-40B4-BE49-F238E27FC236}">
                <a16:creationId xmlns="" xmlns:a16="http://schemas.microsoft.com/office/drawing/2014/main" id="{00000000-0008-0000-0000-000006000000}"/>
              </a:ext>
            </a:extLst>
          </xdr:cNvPr>
          <xdr:cNvCxnSpPr>
            <a:cxnSpLocks noChangeShapeType="1"/>
          </xdr:cNvCxnSpPr>
        </xdr:nvCxnSpPr>
        <xdr:spPr bwMode="auto">
          <a:xfrm flipV="1">
            <a:off x="107849734" y="105538878"/>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7" name="AutoShape 30">
            <a:extLst>
              <a:ext uri="{FF2B5EF4-FFF2-40B4-BE49-F238E27FC236}">
                <a16:creationId xmlns="" xmlns:a16="http://schemas.microsoft.com/office/drawing/2014/main" id="{00000000-0008-0000-0000-000007000000}"/>
              </a:ext>
            </a:extLst>
          </xdr:cNvPr>
          <xdr:cNvCxnSpPr>
            <a:cxnSpLocks noChangeShapeType="1"/>
          </xdr:cNvCxnSpPr>
        </xdr:nvCxnSpPr>
        <xdr:spPr bwMode="auto">
          <a:xfrm flipV="1">
            <a:off x="112417792" y="105545107"/>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8" name="Text Box 31">
            <a:extLst>
              <a:ext uri="{FF2B5EF4-FFF2-40B4-BE49-F238E27FC236}">
                <a16:creationId xmlns="" xmlns:a16="http://schemas.microsoft.com/office/drawing/2014/main" id="{00000000-0008-0000-0000-000008000000}"/>
              </a:ext>
            </a:extLst>
          </xdr:cNvPr>
          <xdr:cNvSpPr txBox="1">
            <a:spLocks noChangeArrowheads="1"/>
          </xdr:cNvSpPr>
        </xdr:nvSpPr>
        <xdr:spPr bwMode="auto">
          <a:xfrm>
            <a:off x="112597736" y="105496335"/>
            <a:ext cx="544300" cy="332864"/>
          </a:xfrm>
          <a:prstGeom prst="rect">
            <a:avLst/>
          </a:prstGeom>
          <a:solidFill>
            <a:srgbClr val="FFFFFF"/>
          </a:solidFill>
          <a:ln w="22225"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6</xdr:col>
      <xdr:colOff>133350</xdr:colOff>
      <xdr:row>20</xdr:row>
      <xdr:rowOff>169039</xdr:rowOff>
    </xdr:from>
    <xdr:to>
      <xdr:col>6</xdr:col>
      <xdr:colOff>7932964</xdr:colOff>
      <xdr:row>28</xdr:row>
      <xdr:rowOff>81644</xdr:rowOff>
    </xdr:to>
    <xdr:sp macro="" textlink="">
      <xdr:nvSpPr>
        <xdr:cNvPr id="9" name="Text Box 32">
          <a:extLst>
            <a:ext uri="{FF2B5EF4-FFF2-40B4-BE49-F238E27FC236}">
              <a16:creationId xmlns="" xmlns:a16="http://schemas.microsoft.com/office/drawing/2014/main" id="{00000000-0008-0000-0000-000009000000}"/>
            </a:ext>
          </a:extLst>
        </xdr:cNvPr>
        <xdr:cNvSpPr txBox="1">
          <a:spLocks noChangeArrowheads="1"/>
        </xdr:cNvSpPr>
      </xdr:nvSpPr>
      <xdr:spPr bwMode="auto">
        <a:xfrm>
          <a:off x="30980743" y="4972360"/>
          <a:ext cx="7799614" cy="1763177"/>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1350mm height of the Buggy is equivelent to </a:t>
          </a:r>
          <a:r>
            <a:rPr lang="en-GB" sz="1100" b="0" i="0" baseline="0">
              <a:effectLst/>
              <a:latin typeface="Arial" panose="020B0604020202020204" pitchFamily="34" charset="0"/>
              <a:ea typeface="+mn-ea"/>
              <a:cs typeface="Arial" panose="020B0604020202020204" pitchFamily="34" charset="0"/>
            </a:rPr>
            <a:t>31.8 blocks. Giving each</a:t>
          </a:r>
          <a:r>
            <a:rPr lang="en-GB" sz="1100" b="0" i="0" u="none" strike="noStrike" baseline="0">
              <a:solidFill>
                <a:srgbClr val="000000"/>
              </a:solidFill>
              <a:latin typeface="Arial" panose="020B0604020202020204" pitchFamily="34" charset="0"/>
              <a:cs typeface="Arial" panose="020B0604020202020204" pitchFamily="34" charset="0"/>
            </a:rPr>
            <a:t> block height of 42.45mm.</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1820mm width of the Buggy is equivelent to </a:t>
          </a:r>
          <a:r>
            <a:rPr lang="en-GB" sz="1100" b="0" i="0" baseline="0">
              <a:effectLst/>
              <a:latin typeface="Arial" panose="020B0604020202020204" pitchFamily="34" charset="0"/>
              <a:ea typeface="+mn-ea"/>
              <a:cs typeface="Arial" panose="020B0604020202020204" pitchFamily="34" charset="0"/>
            </a:rPr>
            <a:t>44.4 blocks. equaling each </a:t>
          </a:r>
          <a:r>
            <a:rPr lang="en-GB" sz="1100" b="0" i="0" u="none" strike="noStrike" baseline="0">
              <a:solidFill>
                <a:srgbClr val="000000"/>
              </a:solidFill>
              <a:latin typeface="Arial" panose="020B0604020202020204" pitchFamily="34" charset="0"/>
              <a:cs typeface="Arial" panose="020B0604020202020204" pitchFamily="34" charset="0"/>
            </a:rPr>
            <a:t>block width of 40.99mm.</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Block area is equivelent to = 42.45x40.99 = 1740mm²</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wheel = 82 blocks </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of the buggy (not including wheel) =400.5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buggy with wheel = 482.5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Therefore whole buggy = 965 blocks (</a:t>
          </a:r>
          <a:r>
            <a:rPr lang="en-GB" sz="1100" b="0" i="0" baseline="0">
              <a:effectLst/>
              <a:latin typeface="Arial" panose="020B0604020202020204" pitchFamily="34" charset="0"/>
              <a:ea typeface="+mn-ea"/>
              <a:cs typeface="Arial" panose="020B0604020202020204" pitchFamily="34" charset="0"/>
            </a:rPr>
            <a:t>482.5 x 2)</a:t>
          </a: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965 Blocks x 1740mm²= 1659800mm² or 1.6598m² for the total frontal area of the Buggy.  </a:t>
          </a:r>
        </a:p>
        <a:p>
          <a:pPr algn="l" rtl="0">
            <a:defRPr sz="1000"/>
          </a:pPr>
          <a:endParaRPr lang="en-GB" sz="1000" b="0" i="0" u="none" strike="noStrike" baseline="0">
            <a:solidFill>
              <a:srgbClr val="000000"/>
            </a:solidFill>
            <a:latin typeface="+mn-lt"/>
            <a:cs typeface="Calibri"/>
          </a:endParaRP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xdr:txBody>
    </xdr:sp>
    <xdr:clientData/>
  </xdr:twoCellAnchor>
  <xdr:twoCellAnchor>
    <xdr:from>
      <xdr:col>31</xdr:col>
      <xdr:colOff>557893</xdr:colOff>
      <xdr:row>1</xdr:row>
      <xdr:rowOff>87086</xdr:rowOff>
    </xdr:from>
    <xdr:to>
      <xdr:col>31</xdr:col>
      <xdr:colOff>14644687</xdr:colOff>
      <xdr:row>20</xdr:row>
      <xdr:rowOff>204106</xdr:rowOff>
    </xdr:to>
    <xdr:graphicFrame macro="">
      <xdr:nvGraphicFramePr>
        <xdr:cNvPr id="10" name="Chart 9">
          <a:extLst>
            <a:ext uri="{FF2B5EF4-FFF2-40B4-BE49-F238E27FC236}">
              <a16:creationId xmlns=""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31</xdr:col>
      <xdr:colOff>618361</xdr:colOff>
      <xdr:row>81</xdr:row>
      <xdr:rowOff>3969</xdr:rowOff>
    </xdr:from>
    <xdr:to>
      <xdr:col>31</xdr:col>
      <xdr:colOff>14484575</xdr:colOff>
      <xdr:row>105</xdr:row>
      <xdr:rowOff>109816</xdr:rowOff>
    </xdr:to>
    <xdr:graphicFrame macro="">
      <xdr:nvGraphicFramePr>
        <xdr:cNvPr id="12" name="Chart 11">
          <a:extLst>
            <a:ext uri="{FF2B5EF4-FFF2-40B4-BE49-F238E27FC236}">
              <a16:creationId xmlns=""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31</xdr:col>
      <xdr:colOff>617340</xdr:colOff>
      <xdr:row>60</xdr:row>
      <xdr:rowOff>7028</xdr:rowOff>
    </xdr:from>
    <xdr:to>
      <xdr:col>31</xdr:col>
      <xdr:colOff>14487279</xdr:colOff>
      <xdr:row>80</xdr:row>
      <xdr:rowOff>93517</xdr:rowOff>
    </xdr:to>
    <xdr:graphicFrame macro="">
      <xdr:nvGraphicFramePr>
        <xdr:cNvPr id="13" name="Chart 12">
          <a:extLst>
            <a:ext uri="{FF2B5EF4-FFF2-40B4-BE49-F238E27FC236}">
              <a16:creationId xmlns=""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31</xdr:col>
      <xdr:colOff>606517</xdr:colOff>
      <xdr:row>39</xdr:row>
      <xdr:rowOff>24091</xdr:rowOff>
    </xdr:from>
    <xdr:to>
      <xdr:col>31</xdr:col>
      <xdr:colOff>14515936</xdr:colOff>
      <xdr:row>58</xdr:row>
      <xdr:rowOff>171448</xdr:rowOff>
    </xdr:to>
    <xdr:graphicFrame macro="">
      <xdr:nvGraphicFramePr>
        <xdr:cNvPr id="14" name="Chart 13">
          <a:extLst>
            <a:ext uri="{FF2B5EF4-FFF2-40B4-BE49-F238E27FC236}">
              <a16:creationId xmlns="" xmlns:a16="http://schemas.microsoft.com/office/drawing/2014/main" id="{00000000-0008-0000-0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31</xdr:col>
      <xdr:colOff>670926</xdr:colOff>
      <xdr:row>131</xdr:row>
      <xdr:rowOff>39017</xdr:rowOff>
    </xdr:from>
    <xdr:to>
      <xdr:col>31</xdr:col>
      <xdr:colOff>14386270</xdr:colOff>
      <xdr:row>156</xdr:row>
      <xdr:rowOff>48695</xdr:rowOff>
    </xdr:to>
    <xdr:graphicFrame macro="">
      <xdr:nvGraphicFramePr>
        <xdr:cNvPr id="15" name="Chart 14">
          <a:extLst>
            <a:ext uri="{FF2B5EF4-FFF2-40B4-BE49-F238E27FC236}">
              <a16:creationId xmlns="" xmlns:a16="http://schemas.microsoft.com/office/drawing/2014/main" id="{00000000-0008-0000-0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31</xdr:col>
      <xdr:colOff>571499</xdr:colOff>
      <xdr:row>21</xdr:row>
      <xdr:rowOff>8165</xdr:rowOff>
    </xdr:from>
    <xdr:to>
      <xdr:col>31</xdr:col>
      <xdr:colOff>14608657</xdr:colOff>
      <xdr:row>38</xdr:row>
      <xdr:rowOff>103414</xdr:rowOff>
    </xdr:to>
    <xdr:graphicFrame macro="">
      <xdr:nvGraphicFramePr>
        <xdr:cNvPr id="131" name="Chart 130">
          <a:extLst>
            <a:ext uri="{FF2B5EF4-FFF2-40B4-BE49-F238E27FC236}">
              <a16:creationId xmlns="" xmlns:a16="http://schemas.microsoft.com/office/drawing/2014/main" id="{00000000-0008-0000-0000-00008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31</xdr:col>
      <xdr:colOff>649429</xdr:colOff>
      <xdr:row>106</xdr:row>
      <xdr:rowOff>38099</xdr:rowOff>
    </xdr:from>
    <xdr:to>
      <xdr:col>31</xdr:col>
      <xdr:colOff>14402317</xdr:colOff>
      <xdr:row>130</xdr:row>
      <xdr:rowOff>6927</xdr:rowOff>
    </xdr:to>
    <xdr:graphicFrame macro="">
      <xdr:nvGraphicFramePr>
        <xdr:cNvPr id="132" name="Chart 131">
          <a:extLst>
            <a:ext uri="{FF2B5EF4-FFF2-40B4-BE49-F238E27FC236}">
              <a16:creationId xmlns="" xmlns:a16="http://schemas.microsoft.com/office/drawing/2014/main" id="{00000000-0008-0000-0000-00008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31</xdr:col>
      <xdr:colOff>677956</xdr:colOff>
      <xdr:row>157</xdr:row>
      <xdr:rowOff>15687</xdr:rowOff>
    </xdr:from>
    <xdr:to>
      <xdr:col>31</xdr:col>
      <xdr:colOff>14409964</xdr:colOff>
      <xdr:row>199</xdr:row>
      <xdr:rowOff>68035</xdr:rowOff>
    </xdr:to>
    <xdr:graphicFrame macro="">
      <xdr:nvGraphicFramePr>
        <xdr:cNvPr id="138" name="Chart 137">
          <a:extLst>
            <a:ext uri="{FF2B5EF4-FFF2-40B4-BE49-F238E27FC236}">
              <a16:creationId xmlns="" xmlns:a16="http://schemas.microsoft.com/office/drawing/2014/main" id="{00000000-0008-0000-0000-00008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5</xdr:col>
      <xdr:colOff>44822</xdr:colOff>
      <xdr:row>1</xdr:row>
      <xdr:rowOff>204985</xdr:rowOff>
    </xdr:from>
    <xdr:to>
      <xdr:col>5</xdr:col>
      <xdr:colOff>8530069</xdr:colOff>
      <xdr:row>25</xdr:row>
      <xdr:rowOff>323</xdr:rowOff>
    </xdr:to>
    <xdr:pic>
      <xdr:nvPicPr>
        <xdr:cNvPr id="141" name="Picture 140" descr="Image result for rage comet r buggy">
          <a:extLst>
            <a:ext uri="{FF2B5EF4-FFF2-40B4-BE49-F238E27FC236}">
              <a16:creationId xmlns="" xmlns:a16="http://schemas.microsoft.com/office/drawing/2014/main" id="{00000000-0008-0000-0000-00008D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2333322" y="608397"/>
          <a:ext cx="8485247" cy="52074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68036</xdr:colOff>
      <xdr:row>1</xdr:row>
      <xdr:rowOff>123149</xdr:rowOff>
    </xdr:from>
    <xdr:to>
      <xdr:col>2</xdr:col>
      <xdr:colOff>7303634</xdr:colOff>
      <xdr:row>31</xdr:row>
      <xdr:rowOff>49791</xdr:rowOff>
    </xdr:to>
    <xdr:grpSp>
      <xdr:nvGrpSpPr>
        <xdr:cNvPr id="143" name="Group 142">
          <a:extLst>
            <a:ext uri="{FF2B5EF4-FFF2-40B4-BE49-F238E27FC236}">
              <a16:creationId xmlns="" xmlns:a16="http://schemas.microsoft.com/office/drawing/2014/main" id="{00000000-0008-0000-0000-00008F000000}"/>
            </a:ext>
          </a:extLst>
        </xdr:cNvPr>
        <xdr:cNvGrpSpPr/>
      </xdr:nvGrpSpPr>
      <xdr:grpSpPr>
        <a:xfrm>
          <a:off x="4085854" y="521467"/>
          <a:ext cx="7235598" cy="6715369"/>
          <a:chOff x="4082143" y="517756"/>
          <a:chExt cx="7235598" cy="6907106"/>
        </a:xfrm>
      </xdr:grpSpPr>
      <xdr:grpSp>
        <xdr:nvGrpSpPr>
          <xdr:cNvPr id="16" name="Group 121">
            <a:extLst>
              <a:ext uri="{FF2B5EF4-FFF2-40B4-BE49-F238E27FC236}">
                <a16:creationId xmlns="" xmlns:a16="http://schemas.microsoft.com/office/drawing/2014/main" id="{00000000-0008-0000-0000-000010000000}"/>
              </a:ext>
            </a:extLst>
          </xdr:cNvPr>
          <xdr:cNvGrpSpPr>
            <a:grpSpLocks/>
          </xdr:cNvGrpSpPr>
        </xdr:nvGrpSpPr>
        <xdr:grpSpPr bwMode="auto">
          <a:xfrm>
            <a:off x="4082143" y="517756"/>
            <a:ext cx="7235598" cy="6907106"/>
            <a:chOff x="1208161" y="1138165"/>
            <a:chExt cx="66553" cy="65081"/>
          </a:xfrm>
        </xdr:grpSpPr>
        <xdr:sp macro="" textlink="">
          <xdr:nvSpPr>
            <xdr:cNvPr id="17" name="Rectangle 235">
              <a:extLst>
                <a:ext uri="{FF2B5EF4-FFF2-40B4-BE49-F238E27FC236}">
                  <a16:creationId xmlns="" xmlns:a16="http://schemas.microsoft.com/office/drawing/2014/main" id="{00000000-0008-0000-0000-000011000000}"/>
                </a:ext>
              </a:extLst>
            </xdr:cNvPr>
            <xdr:cNvSpPr>
              <a:spLocks noChangeArrowheads="1"/>
            </xdr:cNvSpPr>
          </xdr:nvSpPr>
          <xdr:spPr bwMode="auto">
            <a:xfrm>
              <a:off x="1208161" y="1138165"/>
              <a:ext cx="66553" cy="65081"/>
            </a:xfrm>
            <a:prstGeom prst="rect">
              <a:avLst/>
            </a:prstGeom>
            <a:solidFill>
              <a:srgbClr val="FFFFFF"/>
            </a:solidFill>
            <a:ln w="25400">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nvGrpSpPr>
            <xdr:cNvPr id="18" name="Group 122">
              <a:extLst>
                <a:ext uri="{FF2B5EF4-FFF2-40B4-BE49-F238E27FC236}">
                  <a16:creationId xmlns="" xmlns:a16="http://schemas.microsoft.com/office/drawing/2014/main" id="{00000000-0008-0000-0000-000012000000}"/>
                </a:ext>
              </a:extLst>
            </xdr:cNvPr>
            <xdr:cNvGrpSpPr>
              <a:grpSpLocks/>
            </xdr:cNvGrpSpPr>
          </xdr:nvGrpSpPr>
          <xdr:grpSpPr bwMode="auto">
            <a:xfrm>
              <a:off x="1210244" y="1140816"/>
              <a:ext cx="63311" cy="60722"/>
              <a:chOff x="1205702" y="1141521"/>
              <a:chExt cx="63310" cy="60721"/>
            </a:xfrm>
          </xdr:grpSpPr>
          <xdr:grpSp>
            <xdr:nvGrpSpPr>
              <xdr:cNvPr id="19" name="Group 133">
                <a:extLst>
                  <a:ext uri="{FF2B5EF4-FFF2-40B4-BE49-F238E27FC236}">
                    <a16:creationId xmlns="" xmlns:a16="http://schemas.microsoft.com/office/drawing/2014/main" id="{00000000-0008-0000-0000-000013000000}"/>
                  </a:ext>
                </a:extLst>
              </xdr:cNvPr>
              <xdr:cNvGrpSpPr>
                <a:grpSpLocks noChangeAspect="1"/>
              </xdr:cNvGrpSpPr>
            </xdr:nvGrpSpPr>
            <xdr:grpSpPr bwMode="auto">
              <a:xfrm>
                <a:off x="1205702" y="1141521"/>
                <a:ext cx="63307" cy="60721"/>
                <a:chOff x="1136185" y="1151158"/>
                <a:chExt cx="44209" cy="42404"/>
              </a:xfrm>
            </xdr:grpSpPr>
            <xdr:grpSp>
              <xdr:nvGrpSpPr>
                <xdr:cNvPr id="30" name="Group 160">
                  <a:extLst>
                    <a:ext uri="{FF2B5EF4-FFF2-40B4-BE49-F238E27FC236}">
                      <a16:creationId xmlns="" xmlns:a16="http://schemas.microsoft.com/office/drawing/2014/main" id="{00000000-0008-0000-0000-00001E000000}"/>
                    </a:ext>
                  </a:extLst>
                </xdr:cNvPr>
                <xdr:cNvGrpSpPr>
                  <a:grpSpLocks noChangeAspect="1"/>
                </xdr:cNvGrpSpPr>
              </xdr:nvGrpSpPr>
              <xdr:grpSpPr bwMode="auto">
                <a:xfrm>
                  <a:off x="1136185" y="1151158"/>
                  <a:ext cx="44209" cy="42404"/>
                  <a:chOff x="1073558" y="1152056"/>
                  <a:chExt cx="44208" cy="42404"/>
                </a:xfrm>
              </xdr:grpSpPr>
              <xdr:grpSp>
                <xdr:nvGrpSpPr>
                  <xdr:cNvPr id="57" name="Group 182">
                    <a:extLst>
                      <a:ext uri="{FF2B5EF4-FFF2-40B4-BE49-F238E27FC236}">
                        <a16:creationId xmlns="" xmlns:a16="http://schemas.microsoft.com/office/drawing/2014/main" id="{00000000-0008-0000-0000-000039000000}"/>
                      </a:ext>
                    </a:extLst>
                  </xdr:cNvPr>
                  <xdr:cNvGrpSpPr>
                    <a:grpSpLocks noChangeAspect="1"/>
                  </xdr:cNvGrpSpPr>
                </xdr:nvGrpSpPr>
                <xdr:grpSpPr bwMode="auto">
                  <a:xfrm>
                    <a:off x="1076240" y="1152953"/>
                    <a:ext cx="41526" cy="40988"/>
                    <a:chOff x="1077795" y="1104147"/>
                    <a:chExt cx="41526" cy="40988"/>
                  </a:xfrm>
                </xdr:grpSpPr>
                <xdr:grpSp>
                  <xdr:nvGrpSpPr>
                    <xdr:cNvPr id="79" name="Group 184">
                      <a:extLst>
                        <a:ext uri="{FF2B5EF4-FFF2-40B4-BE49-F238E27FC236}">
                          <a16:creationId xmlns="" xmlns:a16="http://schemas.microsoft.com/office/drawing/2014/main" id="{00000000-0008-0000-0000-00004F000000}"/>
                        </a:ext>
                      </a:extLst>
                    </xdr:cNvPr>
                    <xdr:cNvGrpSpPr>
                      <a:grpSpLocks noChangeAspect="1"/>
                    </xdr:cNvGrpSpPr>
                  </xdr:nvGrpSpPr>
                  <xdr:grpSpPr bwMode="auto">
                    <a:xfrm>
                      <a:off x="1077795" y="1104147"/>
                      <a:ext cx="41526" cy="40988"/>
                      <a:chOff x="1077795" y="1104147"/>
                      <a:chExt cx="41526" cy="40988"/>
                    </a:xfrm>
                  </xdr:grpSpPr>
                  <xdr:grpSp>
                    <xdr:nvGrpSpPr>
                      <xdr:cNvPr id="81" name="Group 201">
                        <a:extLst>
                          <a:ext uri="{FF2B5EF4-FFF2-40B4-BE49-F238E27FC236}">
                            <a16:creationId xmlns="" xmlns:a16="http://schemas.microsoft.com/office/drawing/2014/main" id="{00000000-0008-0000-0000-000051000000}"/>
                          </a:ext>
                        </a:extLst>
                      </xdr:cNvPr>
                      <xdr:cNvGrpSpPr>
                        <a:grpSpLocks noChangeAspect="1"/>
                      </xdr:cNvGrpSpPr>
                    </xdr:nvGrpSpPr>
                    <xdr:grpSpPr bwMode="auto">
                      <a:xfrm>
                        <a:off x="1077795" y="1104147"/>
                        <a:ext cx="41526" cy="40988"/>
                        <a:chOff x="1077843" y="1104147"/>
                        <a:chExt cx="41526" cy="40988"/>
                      </a:xfrm>
                    </xdr:grpSpPr>
                    <xdr:sp macro="" textlink="">
                      <xdr:nvSpPr>
                        <xdr:cNvPr id="98" name="Freeform 234">
                          <a:extLst>
                            <a:ext uri="{FF2B5EF4-FFF2-40B4-BE49-F238E27FC236}">
                              <a16:creationId xmlns="" xmlns:a16="http://schemas.microsoft.com/office/drawing/2014/main" id="{00000000-0008-0000-0000-000062000000}"/>
                            </a:ext>
                          </a:extLst>
                        </xdr:cNvPr>
                        <xdr:cNvSpPr>
                          <a:spLocks noChangeAspect="1"/>
                        </xdr:cNvSpPr>
                      </xdr:nvSpPr>
                      <xdr:spPr bwMode="auto">
                        <a:xfrm>
                          <a:off x="1084478" y="1105153"/>
                          <a:ext cx="27106" cy="38303"/>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9" name="AutoShape 233">
                          <a:extLst>
                            <a:ext uri="{FF2B5EF4-FFF2-40B4-BE49-F238E27FC236}">
                              <a16:creationId xmlns="" xmlns:a16="http://schemas.microsoft.com/office/drawing/2014/main" id="{00000000-0008-0000-0000-000063000000}"/>
                            </a:ext>
                          </a:extLst>
                        </xdr:cNvPr>
                        <xdr:cNvSpPr>
                          <a:spLocks noChangeAspect="1" noChangeShapeType="1"/>
                        </xdr:cNvSpPr>
                      </xdr:nvSpPr>
                      <xdr:spPr bwMode="auto">
                        <a:xfrm>
                          <a:off x="1077848" y="1104147"/>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0" name="AutoShape 232">
                          <a:extLst>
                            <a:ext uri="{FF2B5EF4-FFF2-40B4-BE49-F238E27FC236}">
                              <a16:creationId xmlns="" xmlns:a16="http://schemas.microsoft.com/office/drawing/2014/main" id="{00000000-0008-0000-0000-000064000000}"/>
                            </a:ext>
                          </a:extLst>
                        </xdr:cNvPr>
                        <xdr:cNvSpPr>
                          <a:spLocks noChangeAspect="1" noChangeShapeType="1"/>
                        </xdr:cNvSpPr>
                      </xdr:nvSpPr>
                      <xdr:spPr bwMode="auto">
                        <a:xfrm>
                          <a:off x="1077848" y="1106192"/>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1" name="AutoShape 231">
                          <a:extLst>
                            <a:ext uri="{FF2B5EF4-FFF2-40B4-BE49-F238E27FC236}">
                              <a16:creationId xmlns="" xmlns:a16="http://schemas.microsoft.com/office/drawing/2014/main" id="{00000000-0008-0000-0000-000065000000}"/>
                            </a:ext>
                          </a:extLst>
                        </xdr:cNvPr>
                        <xdr:cNvSpPr>
                          <a:spLocks noChangeAspect="1" noChangeShapeType="1"/>
                        </xdr:cNvSpPr>
                      </xdr:nvSpPr>
                      <xdr:spPr bwMode="auto">
                        <a:xfrm>
                          <a:off x="1077848" y="110823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2" name="AutoShape 230">
                          <a:extLst>
                            <a:ext uri="{FF2B5EF4-FFF2-40B4-BE49-F238E27FC236}">
                              <a16:creationId xmlns="" xmlns:a16="http://schemas.microsoft.com/office/drawing/2014/main" id="{00000000-0008-0000-0000-000066000000}"/>
                            </a:ext>
                          </a:extLst>
                        </xdr:cNvPr>
                        <xdr:cNvSpPr>
                          <a:spLocks noChangeAspect="1" noChangeShapeType="1"/>
                        </xdr:cNvSpPr>
                      </xdr:nvSpPr>
                      <xdr:spPr bwMode="auto">
                        <a:xfrm>
                          <a:off x="1077848" y="111028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3" name="AutoShape 229">
                          <a:extLst>
                            <a:ext uri="{FF2B5EF4-FFF2-40B4-BE49-F238E27FC236}">
                              <a16:creationId xmlns="" xmlns:a16="http://schemas.microsoft.com/office/drawing/2014/main" id="{00000000-0008-0000-0000-000067000000}"/>
                            </a:ext>
                          </a:extLst>
                        </xdr:cNvPr>
                        <xdr:cNvSpPr>
                          <a:spLocks noChangeAspect="1" noChangeShapeType="1"/>
                        </xdr:cNvSpPr>
                      </xdr:nvSpPr>
                      <xdr:spPr bwMode="auto">
                        <a:xfrm>
                          <a:off x="1077848" y="111232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4" name="AutoShape 228">
                          <a:extLst>
                            <a:ext uri="{FF2B5EF4-FFF2-40B4-BE49-F238E27FC236}">
                              <a16:creationId xmlns="" xmlns:a16="http://schemas.microsoft.com/office/drawing/2014/main" id="{00000000-0008-0000-0000-000068000000}"/>
                            </a:ext>
                          </a:extLst>
                        </xdr:cNvPr>
                        <xdr:cNvSpPr>
                          <a:spLocks noChangeAspect="1" noChangeShapeType="1"/>
                        </xdr:cNvSpPr>
                      </xdr:nvSpPr>
                      <xdr:spPr bwMode="auto">
                        <a:xfrm>
                          <a:off x="1077848" y="1114373"/>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5" name="AutoShape 227">
                          <a:extLst>
                            <a:ext uri="{FF2B5EF4-FFF2-40B4-BE49-F238E27FC236}">
                              <a16:creationId xmlns="" xmlns:a16="http://schemas.microsoft.com/office/drawing/2014/main" id="{00000000-0008-0000-0000-000069000000}"/>
                            </a:ext>
                          </a:extLst>
                        </xdr:cNvPr>
                        <xdr:cNvSpPr>
                          <a:spLocks noChangeAspect="1" noChangeShapeType="1"/>
                        </xdr:cNvSpPr>
                      </xdr:nvSpPr>
                      <xdr:spPr bwMode="auto">
                        <a:xfrm>
                          <a:off x="1077848" y="1116418"/>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6" name="AutoShape 226">
                          <a:extLst>
                            <a:ext uri="{FF2B5EF4-FFF2-40B4-BE49-F238E27FC236}">
                              <a16:creationId xmlns="" xmlns:a16="http://schemas.microsoft.com/office/drawing/2014/main" id="{00000000-0008-0000-0000-00006A000000}"/>
                            </a:ext>
                          </a:extLst>
                        </xdr:cNvPr>
                        <xdr:cNvSpPr>
                          <a:spLocks noChangeAspect="1" noChangeShapeType="1"/>
                        </xdr:cNvSpPr>
                      </xdr:nvSpPr>
                      <xdr:spPr bwMode="auto">
                        <a:xfrm>
                          <a:off x="1077848" y="1118464"/>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7" name="AutoShape 225">
                          <a:extLst>
                            <a:ext uri="{FF2B5EF4-FFF2-40B4-BE49-F238E27FC236}">
                              <a16:creationId xmlns="" xmlns:a16="http://schemas.microsoft.com/office/drawing/2014/main" id="{00000000-0008-0000-0000-00006B000000}"/>
                            </a:ext>
                          </a:extLst>
                        </xdr:cNvPr>
                        <xdr:cNvSpPr>
                          <a:spLocks noChangeAspect="1" noChangeShapeType="1"/>
                        </xdr:cNvSpPr>
                      </xdr:nvSpPr>
                      <xdr:spPr bwMode="auto">
                        <a:xfrm>
                          <a:off x="1077848" y="1120462"/>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8" name="AutoShape 224">
                          <a:extLst>
                            <a:ext uri="{FF2B5EF4-FFF2-40B4-BE49-F238E27FC236}">
                              <a16:creationId xmlns="" xmlns:a16="http://schemas.microsoft.com/office/drawing/2014/main" id="{00000000-0008-0000-0000-00006C000000}"/>
                            </a:ext>
                          </a:extLst>
                        </xdr:cNvPr>
                        <xdr:cNvSpPr>
                          <a:spLocks noChangeAspect="1" noChangeShapeType="1"/>
                        </xdr:cNvSpPr>
                      </xdr:nvSpPr>
                      <xdr:spPr bwMode="auto">
                        <a:xfrm>
                          <a:off x="1077843" y="112250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9" name="AutoShape 223">
                          <a:extLst>
                            <a:ext uri="{FF2B5EF4-FFF2-40B4-BE49-F238E27FC236}">
                              <a16:creationId xmlns="" xmlns:a16="http://schemas.microsoft.com/office/drawing/2014/main" id="{00000000-0008-0000-0000-00006D000000}"/>
                            </a:ext>
                          </a:extLst>
                        </xdr:cNvPr>
                        <xdr:cNvSpPr>
                          <a:spLocks noChangeAspect="1" noChangeShapeType="1"/>
                        </xdr:cNvSpPr>
                      </xdr:nvSpPr>
                      <xdr:spPr bwMode="auto">
                        <a:xfrm>
                          <a:off x="1077848" y="112455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0" name="AutoShape 222">
                          <a:extLst>
                            <a:ext uri="{FF2B5EF4-FFF2-40B4-BE49-F238E27FC236}">
                              <a16:creationId xmlns="" xmlns:a16="http://schemas.microsoft.com/office/drawing/2014/main" id="{00000000-0008-0000-0000-00006E000000}"/>
                            </a:ext>
                          </a:extLst>
                        </xdr:cNvPr>
                        <xdr:cNvSpPr>
                          <a:spLocks noChangeAspect="1" noChangeShapeType="1"/>
                        </xdr:cNvSpPr>
                      </xdr:nvSpPr>
                      <xdr:spPr bwMode="auto">
                        <a:xfrm>
                          <a:off x="1077848" y="112659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1" name="AutoShape 221">
                          <a:extLst>
                            <a:ext uri="{FF2B5EF4-FFF2-40B4-BE49-F238E27FC236}">
                              <a16:creationId xmlns="" xmlns:a16="http://schemas.microsoft.com/office/drawing/2014/main" id="{00000000-0008-0000-0000-00006F000000}"/>
                            </a:ext>
                          </a:extLst>
                        </xdr:cNvPr>
                        <xdr:cNvSpPr>
                          <a:spLocks noChangeAspect="1" noChangeShapeType="1"/>
                        </xdr:cNvSpPr>
                      </xdr:nvSpPr>
                      <xdr:spPr bwMode="auto">
                        <a:xfrm>
                          <a:off x="1077848" y="1128529"/>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2" name="AutoShape 220">
                          <a:extLst>
                            <a:ext uri="{FF2B5EF4-FFF2-40B4-BE49-F238E27FC236}">
                              <a16:creationId xmlns="" xmlns:a16="http://schemas.microsoft.com/office/drawing/2014/main" id="{00000000-0008-0000-0000-000070000000}"/>
                            </a:ext>
                          </a:extLst>
                        </xdr:cNvPr>
                        <xdr:cNvSpPr>
                          <a:spLocks noChangeAspect="1" noChangeShapeType="1"/>
                        </xdr:cNvSpPr>
                      </xdr:nvSpPr>
                      <xdr:spPr bwMode="auto">
                        <a:xfrm>
                          <a:off x="1077848" y="1130574"/>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3" name="AutoShape 219">
                          <a:extLst>
                            <a:ext uri="{FF2B5EF4-FFF2-40B4-BE49-F238E27FC236}">
                              <a16:creationId xmlns="" xmlns:a16="http://schemas.microsoft.com/office/drawing/2014/main" id="{00000000-0008-0000-0000-000071000000}"/>
                            </a:ext>
                          </a:extLst>
                        </xdr:cNvPr>
                        <xdr:cNvSpPr>
                          <a:spLocks noChangeAspect="1" noChangeShapeType="1"/>
                        </xdr:cNvSpPr>
                      </xdr:nvSpPr>
                      <xdr:spPr bwMode="auto">
                        <a:xfrm>
                          <a:off x="1077848" y="1132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4" name="AutoShape 218">
                          <a:extLst>
                            <a:ext uri="{FF2B5EF4-FFF2-40B4-BE49-F238E27FC236}">
                              <a16:creationId xmlns="" xmlns:a16="http://schemas.microsoft.com/office/drawing/2014/main" id="{00000000-0008-0000-0000-000072000000}"/>
                            </a:ext>
                          </a:extLst>
                        </xdr:cNvPr>
                        <xdr:cNvSpPr>
                          <a:spLocks noChangeAspect="1" noChangeShapeType="1"/>
                        </xdr:cNvSpPr>
                      </xdr:nvSpPr>
                      <xdr:spPr bwMode="auto">
                        <a:xfrm>
                          <a:off x="1077848" y="113466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 name="AutoShape 217">
                          <a:extLst>
                            <a:ext uri="{FF2B5EF4-FFF2-40B4-BE49-F238E27FC236}">
                              <a16:creationId xmlns="" xmlns:a16="http://schemas.microsoft.com/office/drawing/2014/main" id="{00000000-0008-0000-0000-000073000000}"/>
                            </a:ext>
                          </a:extLst>
                        </xdr:cNvPr>
                        <xdr:cNvSpPr>
                          <a:spLocks noChangeAspect="1" noChangeShapeType="1"/>
                        </xdr:cNvSpPr>
                      </xdr:nvSpPr>
                      <xdr:spPr bwMode="auto">
                        <a:xfrm>
                          <a:off x="1077860" y="113657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6" name="AutoShape 216">
                          <a:extLst>
                            <a:ext uri="{FF2B5EF4-FFF2-40B4-BE49-F238E27FC236}">
                              <a16:creationId xmlns="" xmlns:a16="http://schemas.microsoft.com/office/drawing/2014/main" id="{00000000-0008-0000-0000-000074000000}"/>
                            </a:ext>
                          </a:extLst>
                        </xdr:cNvPr>
                        <xdr:cNvSpPr>
                          <a:spLocks noChangeAspect="1" noChangeShapeType="1"/>
                        </xdr:cNvSpPr>
                      </xdr:nvSpPr>
                      <xdr:spPr bwMode="auto">
                        <a:xfrm>
                          <a:off x="1077860" y="1138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7" name="AutoShape 215">
                          <a:extLst>
                            <a:ext uri="{FF2B5EF4-FFF2-40B4-BE49-F238E27FC236}">
                              <a16:creationId xmlns="" xmlns:a16="http://schemas.microsoft.com/office/drawing/2014/main" id="{00000000-0008-0000-0000-000075000000}"/>
                            </a:ext>
                          </a:extLst>
                        </xdr:cNvPr>
                        <xdr:cNvSpPr>
                          <a:spLocks noChangeAspect="1" noChangeShapeType="1"/>
                        </xdr:cNvSpPr>
                      </xdr:nvSpPr>
                      <xdr:spPr bwMode="auto">
                        <a:xfrm>
                          <a:off x="1077860" y="1140665"/>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8" name="AutoShape 214">
                          <a:extLst>
                            <a:ext uri="{FF2B5EF4-FFF2-40B4-BE49-F238E27FC236}">
                              <a16:creationId xmlns="" xmlns:a16="http://schemas.microsoft.com/office/drawing/2014/main" id="{00000000-0008-0000-0000-000076000000}"/>
                            </a:ext>
                          </a:extLst>
                        </xdr:cNvPr>
                        <xdr:cNvSpPr>
                          <a:spLocks noChangeAspect="1" noChangeShapeType="1"/>
                        </xdr:cNvSpPr>
                      </xdr:nvSpPr>
                      <xdr:spPr bwMode="auto">
                        <a:xfrm>
                          <a:off x="1077860" y="1142710"/>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9" name="AutoShape 213">
                          <a:extLst>
                            <a:ext uri="{FF2B5EF4-FFF2-40B4-BE49-F238E27FC236}">
                              <a16:creationId xmlns="" xmlns:a16="http://schemas.microsoft.com/office/drawing/2014/main" id="{00000000-0008-0000-0000-000077000000}"/>
                            </a:ext>
                          </a:extLst>
                        </xdr:cNvPr>
                        <xdr:cNvSpPr>
                          <a:spLocks noChangeAspect="1" noChangeShapeType="1"/>
                        </xdr:cNvSpPr>
                      </xdr:nvSpPr>
                      <xdr:spPr bwMode="auto">
                        <a:xfrm>
                          <a:off x="1077860" y="1144756"/>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0" name="AutoShape 212">
                          <a:extLst>
                            <a:ext uri="{FF2B5EF4-FFF2-40B4-BE49-F238E27FC236}">
                              <a16:creationId xmlns="" xmlns:a16="http://schemas.microsoft.com/office/drawing/2014/main" id="{00000000-0008-0000-0000-000078000000}"/>
                            </a:ext>
                          </a:extLst>
                        </xdr:cNvPr>
                        <xdr:cNvSpPr>
                          <a:spLocks noChangeAspect="1" noChangeShapeType="1"/>
                        </xdr:cNvSpPr>
                      </xdr:nvSpPr>
                      <xdr:spPr bwMode="auto">
                        <a:xfrm flipH="1">
                          <a:off x="1095767" y="1113950"/>
                          <a:ext cx="106" cy="3095"/>
                        </a:xfrm>
                        <a:prstGeom prst="straightConnector1">
                          <a:avLst/>
                        </a:prstGeom>
                        <a:noFill/>
                        <a:ln w="88900">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 name="AutoShape 211">
                          <a:extLst>
                            <a:ext uri="{FF2B5EF4-FFF2-40B4-BE49-F238E27FC236}">
                              <a16:creationId xmlns="" xmlns:a16="http://schemas.microsoft.com/office/drawing/2014/main" id="{00000000-0008-0000-0000-000079000000}"/>
                            </a:ext>
                          </a:extLst>
                        </xdr:cNvPr>
                        <xdr:cNvSpPr>
                          <a:spLocks noChangeAspect="1" noChangeShapeType="1"/>
                        </xdr:cNvSpPr>
                      </xdr:nvSpPr>
                      <xdr:spPr bwMode="auto">
                        <a:xfrm flipV="1">
                          <a:off x="1098071" y="1120986"/>
                          <a:ext cx="668" cy="3130"/>
                        </a:xfrm>
                        <a:prstGeom prst="straightConnector1">
                          <a:avLst/>
                        </a:prstGeom>
                        <a:noFill/>
                        <a:ln w="88900">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 name="AutoShape 210">
                          <a:extLst>
                            <a:ext uri="{FF2B5EF4-FFF2-40B4-BE49-F238E27FC236}">
                              <a16:creationId xmlns="" xmlns:a16="http://schemas.microsoft.com/office/drawing/2014/main" id="{00000000-0008-0000-0000-00007A000000}"/>
                            </a:ext>
                          </a:extLst>
                        </xdr:cNvPr>
                        <xdr:cNvSpPr>
                          <a:spLocks noChangeAspect="1" noChangeShapeType="1"/>
                        </xdr:cNvSpPr>
                      </xdr:nvSpPr>
                      <xdr:spPr bwMode="auto">
                        <a:xfrm flipV="1">
                          <a:off x="1105193" y="1128635"/>
                          <a:ext cx="281" cy="5170"/>
                        </a:xfrm>
                        <a:prstGeom prst="straightConnector1">
                          <a:avLst/>
                        </a:prstGeom>
                        <a:noFill/>
                        <a:ln w="88900">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 name="AutoShape 209">
                          <a:extLst>
                            <a:ext uri="{FF2B5EF4-FFF2-40B4-BE49-F238E27FC236}">
                              <a16:creationId xmlns="" xmlns:a16="http://schemas.microsoft.com/office/drawing/2014/main" id="{00000000-0008-0000-0000-00007B000000}"/>
                            </a:ext>
                          </a:extLst>
                        </xdr:cNvPr>
                        <xdr:cNvSpPr>
                          <a:spLocks noChangeAspect="1" noChangeShapeType="1"/>
                        </xdr:cNvSpPr>
                      </xdr:nvSpPr>
                      <xdr:spPr bwMode="auto">
                        <a:xfrm flipV="1">
                          <a:off x="1083193" y="1128529"/>
                          <a:ext cx="2799" cy="2"/>
                        </a:xfrm>
                        <a:prstGeom prst="straightConnector1">
                          <a:avLst/>
                        </a:prstGeom>
                        <a:noFill/>
                        <a:ln w="31750">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 name="AutoShape 208">
                          <a:extLst>
                            <a:ext uri="{FF2B5EF4-FFF2-40B4-BE49-F238E27FC236}">
                              <a16:creationId xmlns="" xmlns:a16="http://schemas.microsoft.com/office/drawing/2014/main" id="{00000000-0008-0000-0000-00007C000000}"/>
                            </a:ext>
                          </a:extLst>
                        </xdr:cNvPr>
                        <xdr:cNvSpPr>
                          <a:spLocks noChangeAspect="1" noChangeShapeType="1"/>
                        </xdr:cNvSpPr>
                      </xdr:nvSpPr>
                      <xdr:spPr bwMode="auto">
                        <a:xfrm flipH="1">
                          <a:off x="1095725" y="11170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 name="AutoShape 207">
                          <a:extLst>
                            <a:ext uri="{FF2B5EF4-FFF2-40B4-BE49-F238E27FC236}">
                              <a16:creationId xmlns="" xmlns:a16="http://schemas.microsoft.com/office/drawing/2014/main" id="{00000000-0008-0000-0000-00007D000000}"/>
                            </a:ext>
                          </a:extLst>
                        </xdr:cNvPr>
                        <xdr:cNvSpPr>
                          <a:spLocks noChangeAspect="1" noChangeShapeType="1"/>
                        </xdr:cNvSpPr>
                      </xdr:nvSpPr>
                      <xdr:spPr bwMode="auto">
                        <a:xfrm flipH="1">
                          <a:off x="1095767" y="111544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6" name="AutoShape 206">
                          <a:extLst>
                            <a:ext uri="{FF2B5EF4-FFF2-40B4-BE49-F238E27FC236}">
                              <a16:creationId xmlns="" xmlns:a16="http://schemas.microsoft.com/office/drawing/2014/main" id="{00000000-0008-0000-0000-00007E000000}"/>
                            </a:ext>
                          </a:extLst>
                        </xdr:cNvPr>
                        <xdr:cNvSpPr>
                          <a:spLocks noChangeAspect="1" noChangeShapeType="1"/>
                        </xdr:cNvSpPr>
                      </xdr:nvSpPr>
                      <xdr:spPr bwMode="auto">
                        <a:xfrm flipH="1">
                          <a:off x="1095767" y="1113937"/>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7" name="AutoShape 205">
                          <a:extLst>
                            <a:ext uri="{FF2B5EF4-FFF2-40B4-BE49-F238E27FC236}">
                              <a16:creationId xmlns="" xmlns:a16="http://schemas.microsoft.com/office/drawing/2014/main" id="{00000000-0008-0000-0000-00007F000000}"/>
                            </a:ext>
                          </a:extLst>
                        </xdr:cNvPr>
                        <xdr:cNvSpPr>
                          <a:spLocks noChangeAspect="1" noChangeShapeType="1"/>
                        </xdr:cNvSpPr>
                      </xdr:nvSpPr>
                      <xdr:spPr bwMode="auto">
                        <a:xfrm flipH="1">
                          <a:off x="1096319" y="1112707"/>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8" name="AutoShape 204">
                          <a:extLst>
                            <a:ext uri="{FF2B5EF4-FFF2-40B4-BE49-F238E27FC236}">
                              <a16:creationId xmlns="" xmlns:a16="http://schemas.microsoft.com/office/drawing/2014/main" id="{00000000-0008-0000-0000-000080000000}"/>
                            </a:ext>
                          </a:extLst>
                        </xdr:cNvPr>
                        <xdr:cNvSpPr>
                          <a:spLocks noChangeAspect="1" noChangeShapeType="1"/>
                        </xdr:cNvSpPr>
                      </xdr:nvSpPr>
                      <xdr:spPr bwMode="auto">
                        <a:xfrm flipH="1">
                          <a:off x="1098908" y="1111142"/>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9" name="AutoShape 203">
                          <a:extLst>
                            <a:ext uri="{FF2B5EF4-FFF2-40B4-BE49-F238E27FC236}">
                              <a16:creationId xmlns="" xmlns:a16="http://schemas.microsoft.com/office/drawing/2014/main" id="{00000000-0008-0000-0000-000081000000}"/>
                            </a:ext>
                          </a:extLst>
                        </xdr:cNvPr>
                        <xdr:cNvSpPr>
                          <a:spLocks noChangeAspect="1" noChangeShapeType="1"/>
                        </xdr:cNvSpPr>
                      </xdr:nvSpPr>
                      <xdr:spPr bwMode="auto">
                        <a:xfrm flipH="1">
                          <a:off x="1096110" y="110529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0" name="AutoShape 202">
                          <a:extLst>
                            <a:ext uri="{FF2B5EF4-FFF2-40B4-BE49-F238E27FC236}">
                              <a16:creationId xmlns="" xmlns:a16="http://schemas.microsoft.com/office/drawing/2014/main" id="{00000000-0008-0000-0000-000082000000}"/>
                            </a:ext>
                          </a:extLst>
                        </xdr:cNvPr>
                        <xdr:cNvSpPr>
                          <a:spLocks noChangeAspect="1" noChangeShapeType="1"/>
                        </xdr:cNvSpPr>
                      </xdr:nvSpPr>
                      <xdr:spPr bwMode="auto">
                        <a:xfrm flipH="1">
                          <a:off x="1084879" y="111501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82" name="AutoShape 200">
                        <a:extLst>
                          <a:ext uri="{FF2B5EF4-FFF2-40B4-BE49-F238E27FC236}">
                            <a16:creationId xmlns="" xmlns:a16="http://schemas.microsoft.com/office/drawing/2014/main" id="{00000000-0008-0000-0000-000052000000}"/>
                          </a:ext>
                        </a:extLst>
                      </xdr:cNvPr>
                      <xdr:cNvSpPr>
                        <a:spLocks noChangeAspect="1" noChangeShapeType="1"/>
                      </xdr:cNvSpPr>
                    </xdr:nvSpPr>
                    <xdr:spPr bwMode="auto">
                      <a:xfrm flipH="1">
                        <a:off x="1096670" y="114018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3" name="AutoShape 199">
                        <a:extLst>
                          <a:ext uri="{FF2B5EF4-FFF2-40B4-BE49-F238E27FC236}">
                            <a16:creationId xmlns="" xmlns:a16="http://schemas.microsoft.com/office/drawing/2014/main" id="{00000000-0008-0000-0000-000053000000}"/>
                          </a:ext>
                        </a:extLst>
                      </xdr:cNvPr>
                      <xdr:cNvSpPr>
                        <a:spLocks noChangeAspect="1" noChangeShapeType="1"/>
                      </xdr:cNvSpPr>
                    </xdr:nvSpPr>
                    <xdr:spPr bwMode="auto">
                      <a:xfrm flipH="1">
                        <a:off x="1096110" y="113391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4" name="AutoShape 198">
                        <a:extLst>
                          <a:ext uri="{FF2B5EF4-FFF2-40B4-BE49-F238E27FC236}">
                            <a16:creationId xmlns="" xmlns:a16="http://schemas.microsoft.com/office/drawing/2014/main" id="{00000000-0008-0000-0000-000054000000}"/>
                          </a:ext>
                        </a:extLst>
                      </xdr:cNvPr>
                      <xdr:cNvSpPr>
                        <a:spLocks noChangeAspect="1" noChangeShapeType="1"/>
                      </xdr:cNvSpPr>
                    </xdr:nvSpPr>
                    <xdr:spPr bwMode="auto">
                      <a:xfrm flipH="1">
                        <a:off x="1093691" y="1140208"/>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5" name="AutoShape 197">
                        <a:extLst>
                          <a:ext uri="{FF2B5EF4-FFF2-40B4-BE49-F238E27FC236}">
                            <a16:creationId xmlns="" xmlns:a16="http://schemas.microsoft.com/office/drawing/2014/main" id="{00000000-0008-0000-0000-000055000000}"/>
                          </a:ext>
                        </a:extLst>
                      </xdr:cNvPr>
                      <xdr:cNvSpPr>
                        <a:spLocks noChangeAspect="1" noChangeShapeType="1"/>
                      </xdr:cNvSpPr>
                    </xdr:nvSpPr>
                    <xdr:spPr bwMode="auto">
                      <a:xfrm flipH="1">
                        <a:off x="1097196" y="112670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6" name="AutoShape 196">
                        <a:extLst>
                          <a:ext uri="{FF2B5EF4-FFF2-40B4-BE49-F238E27FC236}">
                            <a16:creationId xmlns="" xmlns:a16="http://schemas.microsoft.com/office/drawing/2014/main" id="{00000000-0008-0000-0000-000056000000}"/>
                          </a:ext>
                        </a:extLst>
                      </xdr:cNvPr>
                      <xdr:cNvSpPr>
                        <a:spLocks noChangeAspect="1" noChangeShapeType="1"/>
                      </xdr:cNvSpPr>
                    </xdr:nvSpPr>
                    <xdr:spPr bwMode="auto">
                      <a:xfrm flipH="1">
                        <a:off x="1097980" y="112409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7" name="AutoShape 195">
                        <a:extLst>
                          <a:ext uri="{FF2B5EF4-FFF2-40B4-BE49-F238E27FC236}">
                            <a16:creationId xmlns="" xmlns:a16="http://schemas.microsoft.com/office/drawing/2014/main" id="{00000000-0008-0000-0000-000057000000}"/>
                          </a:ext>
                        </a:extLst>
                      </xdr:cNvPr>
                      <xdr:cNvSpPr>
                        <a:spLocks noChangeAspect="1" noChangeShapeType="1"/>
                      </xdr:cNvSpPr>
                    </xdr:nvSpPr>
                    <xdr:spPr bwMode="auto">
                      <a:xfrm flipH="1">
                        <a:off x="1098314" y="1122578"/>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8" name="AutoShape 194">
                        <a:extLst>
                          <a:ext uri="{FF2B5EF4-FFF2-40B4-BE49-F238E27FC236}">
                            <a16:creationId xmlns="" xmlns:a16="http://schemas.microsoft.com/office/drawing/2014/main" id="{00000000-0008-0000-0000-000058000000}"/>
                          </a:ext>
                        </a:extLst>
                      </xdr:cNvPr>
                      <xdr:cNvSpPr>
                        <a:spLocks noChangeAspect="1" noChangeShapeType="1"/>
                      </xdr:cNvSpPr>
                    </xdr:nvSpPr>
                    <xdr:spPr bwMode="auto">
                      <a:xfrm flipH="1">
                        <a:off x="1098607" y="1120841"/>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9" name="AutoShape 193">
                        <a:extLst>
                          <a:ext uri="{FF2B5EF4-FFF2-40B4-BE49-F238E27FC236}">
                            <a16:creationId xmlns="" xmlns:a16="http://schemas.microsoft.com/office/drawing/2014/main" id="{00000000-0008-0000-0000-000059000000}"/>
                          </a:ext>
                        </a:extLst>
                      </xdr:cNvPr>
                      <xdr:cNvSpPr>
                        <a:spLocks noChangeAspect="1" noChangeShapeType="1"/>
                      </xdr:cNvSpPr>
                    </xdr:nvSpPr>
                    <xdr:spPr bwMode="auto">
                      <a:xfrm flipH="1">
                        <a:off x="1103597" y="1109065"/>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0" name="AutoShape 192">
                        <a:extLst>
                          <a:ext uri="{FF2B5EF4-FFF2-40B4-BE49-F238E27FC236}">
                            <a16:creationId xmlns="" xmlns:a16="http://schemas.microsoft.com/office/drawing/2014/main" id="{00000000-0008-0000-0000-00005A000000}"/>
                          </a:ext>
                        </a:extLst>
                      </xdr:cNvPr>
                      <xdr:cNvSpPr>
                        <a:spLocks noChangeAspect="1" noChangeShapeType="1"/>
                      </xdr:cNvSpPr>
                    </xdr:nvSpPr>
                    <xdr:spPr bwMode="auto">
                      <a:xfrm flipH="1">
                        <a:off x="1111078" y="111125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1" name="AutoShape 191">
                        <a:extLst>
                          <a:ext uri="{FF2B5EF4-FFF2-40B4-BE49-F238E27FC236}">
                            <a16:creationId xmlns="" xmlns:a16="http://schemas.microsoft.com/office/drawing/2014/main" id="{00000000-0008-0000-0000-00005B000000}"/>
                          </a:ext>
                        </a:extLst>
                      </xdr:cNvPr>
                      <xdr:cNvSpPr>
                        <a:spLocks noChangeAspect="1" noChangeShapeType="1"/>
                      </xdr:cNvSpPr>
                    </xdr:nvSpPr>
                    <xdr:spPr bwMode="auto">
                      <a:xfrm flipH="1">
                        <a:off x="1106220" y="111612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2" name="AutoShape 190">
                        <a:extLst>
                          <a:ext uri="{FF2B5EF4-FFF2-40B4-BE49-F238E27FC236}">
                            <a16:creationId xmlns="" xmlns:a16="http://schemas.microsoft.com/office/drawing/2014/main" id="{00000000-0008-0000-0000-00005C000000}"/>
                          </a:ext>
                        </a:extLst>
                      </xdr:cNvPr>
                      <xdr:cNvSpPr>
                        <a:spLocks noChangeAspect="1" noChangeShapeType="1"/>
                      </xdr:cNvSpPr>
                    </xdr:nvSpPr>
                    <xdr:spPr bwMode="auto">
                      <a:xfrm flipH="1">
                        <a:off x="1105393" y="1125976"/>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3" name="AutoShape 189">
                        <a:extLst>
                          <a:ext uri="{FF2B5EF4-FFF2-40B4-BE49-F238E27FC236}">
                            <a16:creationId xmlns="" xmlns:a16="http://schemas.microsoft.com/office/drawing/2014/main" id="{00000000-0008-0000-0000-00005D000000}"/>
                          </a:ext>
                        </a:extLst>
                      </xdr:cNvPr>
                      <xdr:cNvSpPr>
                        <a:spLocks noChangeAspect="1" noChangeShapeType="1"/>
                      </xdr:cNvSpPr>
                    </xdr:nvSpPr>
                    <xdr:spPr bwMode="auto">
                      <a:xfrm flipH="1">
                        <a:off x="1105374" y="1128529"/>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4" name="AutoShape 188">
                        <a:extLst>
                          <a:ext uri="{FF2B5EF4-FFF2-40B4-BE49-F238E27FC236}">
                            <a16:creationId xmlns="" xmlns:a16="http://schemas.microsoft.com/office/drawing/2014/main" id="{00000000-0008-0000-0000-00005E000000}"/>
                          </a:ext>
                        </a:extLst>
                      </xdr:cNvPr>
                      <xdr:cNvSpPr>
                        <a:spLocks noChangeAspect="1" noChangeShapeType="1"/>
                      </xdr:cNvSpPr>
                    </xdr:nvSpPr>
                    <xdr:spPr bwMode="auto">
                      <a:xfrm flipH="1">
                        <a:off x="1105231" y="1131082"/>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5" name="AutoShape 187">
                        <a:extLst>
                          <a:ext uri="{FF2B5EF4-FFF2-40B4-BE49-F238E27FC236}">
                            <a16:creationId xmlns="" xmlns:a16="http://schemas.microsoft.com/office/drawing/2014/main" id="{00000000-0008-0000-0000-00005F000000}"/>
                          </a:ext>
                        </a:extLst>
                      </xdr:cNvPr>
                      <xdr:cNvSpPr>
                        <a:spLocks noChangeAspect="1" noChangeShapeType="1"/>
                      </xdr:cNvSpPr>
                    </xdr:nvSpPr>
                    <xdr:spPr bwMode="auto">
                      <a:xfrm flipH="1">
                        <a:off x="1105060" y="113377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6" name="AutoShape 186">
                        <a:extLst>
                          <a:ext uri="{FF2B5EF4-FFF2-40B4-BE49-F238E27FC236}">
                            <a16:creationId xmlns="" xmlns:a16="http://schemas.microsoft.com/office/drawing/2014/main" id="{00000000-0008-0000-0000-000060000000}"/>
                          </a:ext>
                        </a:extLst>
                      </xdr:cNvPr>
                      <xdr:cNvSpPr>
                        <a:spLocks noChangeAspect="1" noChangeShapeType="1"/>
                      </xdr:cNvSpPr>
                    </xdr:nvSpPr>
                    <xdr:spPr bwMode="auto">
                      <a:xfrm flipH="1">
                        <a:off x="1102969" y="11395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7" name="AutoShape 185">
                        <a:extLst>
                          <a:ext uri="{FF2B5EF4-FFF2-40B4-BE49-F238E27FC236}">
                            <a16:creationId xmlns="" xmlns:a16="http://schemas.microsoft.com/office/drawing/2014/main" id="{00000000-0008-0000-0000-000061000000}"/>
                          </a:ext>
                        </a:extLst>
                      </xdr:cNvPr>
                      <xdr:cNvSpPr>
                        <a:spLocks noChangeAspect="1" noChangeShapeType="1"/>
                      </xdr:cNvSpPr>
                    </xdr:nvSpPr>
                    <xdr:spPr bwMode="auto">
                      <a:xfrm flipH="1">
                        <a:off x="1096739" y="1143242"/>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80" name="AutoShape 183">
                      <a:extLst>
                        <a:ext uri="{FF2B5EF4-FFF2-40B4-BE49-F238E27FC236}">
                          <a16:creationId xmlns="" xmlns:a16="http://schemas.microsoft.com/office/drawing/2014/main" id="{00000000-0008-0000-0000-000050000000}"/>
                        </a:ext>
                      </a:extLst>
                    </xdr:cNvPr>
                    <xdr:cNvSpPr>
                      <a:spLocks noChangeAspect="1" noChangeShapeType="1"/>
                    </xdr:cNvSpPr>
                  </xdr:nvSpPr>
                  <xdr:spPr bwMode="auto">
                    <a:xfrm flipV="1">
                      <a:off x="1085943" y="1120841"/>
                      <a:ext cx="0" cy="7193"/>
                    </a:xfrm>
                    <a:prstGeom prst="straightConnector1">
                      <a:avLst/>
                    </a:prstGeom>
                    <a:noFill/>
                    <a:ln w="25400">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58" name="Text Box 181">
                    <a:extLst>
                      <a:ext uri="{FF2B5EF4-FFF2-40B4-BE49-F238E27FC236}">
                        <a16:creationId xmlns="" xmlns:a16="http://schemas.microsoft.com/office/drawing/2014/main" id="{00000000-0008-0000-0000-00003A000000}"/>
                      </a:ext>
                    </a:extLst>
                  </xdr:cNvPr>
                  <xdr:cNvSpPr txBox="1">
                    <a:spLocks noChangeAspect="1" noChangeArrowheads="1"/>
                  </xdr:cNvSpPr>
                </xdr:nvSpPr>
                <xdr:spPr bwMode="auto">
                  <a:xfrm>
                    <a:off x="1073558" y="1172296"/>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xdr:txBody>
              </xdr:sp>
              <xdr:sp macro="" textlink="">
                <xdr:nvSpPr>
                  <xdr:cNvPr id="59" name="Text Box 180">
                    <a:extLst>
                      <a:ext uri="{FF2B5EF4-FFF2-40B4-BE49-F238E27FC236}">
                        <a16:creationId xmlns="" xmlns:a16="http://schemas.microsoft.com/office/drawing/2014/main" id="{00000000-0008-0000-0000-00003B000000}"/>
                      </a:ext>
                    </a:extLst>
                  </xdr:cNvPr>
                  <xdr:cNvSpPr txBox="1">
                    <a:spLocks noChangeAspect="1" noChangeArrowheads="1"/>
                  </xdr:cNvSpPr>
                </xdr:nvSpPr>
                <xdr:spPr bwMode="auto">
                  <a:xfrm>
                    <a:off x="1073870" y="1174333"/>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xdr:txBody>
              </xdr:sp>
              <xdr:sp macro="" textlink="">
                <xdr:nvSpPr>
                  <xdr:cNvPr id="60" name="Text Box 179">
                    <a:extLst>
                      <a:ext uri="{FF2B5EF4-FFF2-40B4-BE49-F238E27FC236}">
                        <a16:creationId xmlns="" xmlns:a16="http://schemas.microsoft.com/office/drawing/2014/main" id="{00000000-0008-0000-0000-00003C000000}"/>
                      </a:ext>
                    </a:extLst>
                  </xdr:cNvPr>
                  <xdr:cNvSpPr txBox="1">
                    <a:spLocks noChangeAspect="1" noChangeArrowheads="1"/>
                  </xdr:cNvSpPr>
                </xdr:nvSpPr>
                <xdr:spPr bwMode="auto">
                  <a:xfrm>
                    <a:off x="1073870" y="1176370"/>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xdr:txBody>
              </xdr:sp>
              <xdr:sp macro="" textlink="">
                <xdr:nvSpPr>
                  <xdr:cNvPr id="61" name="Text Box 178">
                    <a:extLst>
                      <a:ext uri="{FF2B5EF4-FFF2-40B4-BE49-F238E27FC236}">
                        <a16:creationId xmlns="" xmlns:a16="http://schemas.microsoft.com/office/drawing/2014/main" id="{00000000-0008-0000-0000-00003D000000}"/>
                      </a:ext>
                    </a:extLst>
                  </xdr:cNvPr>
                  <xdr:cNvSpPr txBox="1">
                    <a:spLocks noChangeAspect="1" noChangeArrowheads="1"/>
                  </xdr:cNvSpPr>
                </xdr:nvSpPr>
                <xdr:spPr bwMode="auto">
                  <a:xfrm>
                    <a:off x="1073870" y="117840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xdr:txBody>
              </xdr:sp>
              <xdr:sp macro="" textlink="">
                <xdr:nvSpPr>
                  <xdr:cNvPr id="62" name="Text Box 177">
                    <a:extLst>
                      <a:ext uri="{FF2B5EF4-FFF2-40B4-BE49-F238E27FC236}">
                        <a16:creationId xmlns="" xmlns:a16="http://schemas.microsoft.com/office/drawing/2014/main" id="{00000000-0008-0000-0000-00003E000000}"/>
                      </a:ext>
                    </a:extLst>
                  </xdr:cNvPr>
                  <xdr:cNvSpPr txBox="1">
                    <a:spLocks noChangeAspect="1" noChangeArrowheads="1"/>
                  </xdr:cNvSpPr>
                </xdr:nvSpPr>
                <xdr:spPr bwMode="auto">
                  <a:xfrm>
                    <a:off x="1073870" y="118044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xdr:txBody>
              </xdr:sp>
              <xdr:sp macro="" textlink="">
                <xdr:nvSpPr>
                  <xdr:cNvPr id="63" name="Text Box 176">
                    <a:extLst>
                      <a:ext uri="{FF2B5EF4-FFF2-40B4-BE49-F238E27FC236}">
                        <a16:creationId xmlns="" xmlns:a16="http://schemas.microsoft.com/office/drawing/2014/main" id="{00000000-0008-0000-0000-00003F000000}"/>
                      </a:ext>
                    </a:extLst>
                  </xdr:cNvPr>
                  <xdr:cNvSpPr txBox="1">
                    <a:spLocks noChangeAspect="1" noChangeArrowheads="1"/>
                  </xdr:cNvSpPr>
                </xdr:nvSpPr>
                <xdr:spPr bwMode="auto">
                  <a:xfrm>
                    <a:off x="1073870" y="1182480"/>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xdr:txBody>
              </xdr:sp>
              <xdr:sp macro="" textlink="">
                <xdr:nvSpPr>
                  <xdr:cNvPr id="64" name="Text Box 175">
                    <a:extLst>
                      <a:ext uri="{FF2B5EF4-FFF2-40B4-BE49-F238E27FC236}">
                        <a16:creationId xmlns="" xmlns:a16="http://schemas.microsoft.com/office/drawing/2014/main" id="{00000000-0008-0000-0000-000040000000}"/>
                      </a:ext>
                    </a:extLst>
                  </xdr:cNvPr>
                  <xdr:cNvSpPr txBox="1">
                    <a:spLocks noChangeAspect="1" noChangeArrowheads="1"/>
                  </xdr:cNvSpPr>
                </xdr:nvSpPr>
                <xdr:spPr bwMode="auto">
                  <a:xfrm>
                    <a:off x="1073870" y="118451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xdr:txBody>
              </xdr:sp>
              <xdr:sp macro="" textlink="">
                <xdr:nvSpPr>
                  <xdr:cNvPr id="65" name="Text Box 174">
                    <a:extLst>
                      <a:ext uri="{FF2B5EF4-FFF2-40B4-BE49-F238E27FC236}">
                        <a16:creationId xmlns="" xmlns:a16="http://schemas.microsoft.com/office/drawing/2014/main" id="{00000000-0008-0000-0000-000041000000}"/>
                      </a:ext>
                    </a:extLst>
                  </xdr:cNvPr>
                  <xdr:cNvSpPr txBox="1">
                    <a:spLocks noChangeAspect="1" noChangeArrowheads="1"/>
                  </xdr:cNvSpPr>
                </xdr:nvSpPr>
                <xdr:spPr bwMode="auto">
                  <a:xfrm>
                    <a:off x="1073870" y="118655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xdr:txBody>
              </xdr:sp>
              <xdr:sp macro="" textlink="">
                <xdr:nvSpPr>
                  <xdr:cNvPr id="66" name="Text Box 173">
                    <a:extLst>
                      <a:ext uri="{FF2B5EF4-FFF2-40B4-BE49-F238E27FC236}">
                        <a16:creationId xmlns="" xmlns:a16="http://schemas.microsoft.com/office/drawing/2014/main" id="{00000000-0008-0000-0000-000042000000}"/>
                      </a:ext>
                    </a:extLst>
                  </xdr:cNvPr>
                  <xdr:cNvSpPr txBox="1">
                    <a:spLocks noChangeAspect="1" noChangeArrowheads="1"/>
                  </xdr:cNvSpPr>
                </xdr:nvSpPr>
                <xdr:spPr bwMode="auto">
                  <a:xfrm>
                    <a:off x="1073870" y="1188591"/>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xdr:txBody>
              </xdr:sp>
              <xdr:sp macro="" textlink="">
                <xdr:nvSpPr>
                  <xdr:cNvPr id="67" name="Text Box 172">
                    <a:extLst>
                      <a:ext uri="{FF2B5EF4-FFF2-40B4-BE49-F238E27FC236}">
                        <a16:creationId xmlns="" xmlns:a16="http://schemas.microsoft.com/office/drawing/2014/main" id="{00000000-0008-0000-0000-000043000000}"/>
                      </a:ext>
                    </a:extLst>
                  </xdr:cNvPr>
                  <xdr:cNvSpPr txBox="1">
                    <a:spLocks noChangeAspect="1" noChangeArrowheads="1"/>
                  </xdr:cNvSpPr>
                </xdr:nvSpPr>
                <xdr:spPr bwMode="auto">
                  <a:xfrm>
                    <a:off x="1073870" y="1190627"/>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xdr:txBody>
              </xdr:sp>
              <xdr:sp macro="" textlink="">
                <xdr:nvSpPr>
                  <xdr:cNvPr id="68" name="Text Box 171">
                    <a:extLst>
                      <a:ext uri="{FF2B5EF4-FFF2-40B4-BE49-F238E27FC236}">
                        <a16:creationId xmlns="" xmlns:a16="http://schemas.microsoft.com/office/drawing/2014/main" id="{00000000-0008-0000-0000-000044000000}"/>
                      </a:ext>
                    </a:extLst>
                  </xdr:cNvPr>
                  <xdr:cNvSpPr txBox="1">
                    <a:spLocks noChangeAspect="1" noChangeArrowheads="1"/>
                  </xdr:cNvSpPr>
                </xdr:nvSpPr>
                <xdr:spPr bwMode="auto">
                  <a:xfrm>
                    <a:off x="1073870" y="1192664"/>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xdr:txBody>
              </xdr:sp>
              <xdr:sp macro="" textlink="">
                <xdr:nvSpPr>
                  <xdr:cNvPr id="69" name="Text Box 170">
                    <a:extLst>
                      <a:ext uri="{FF2B5EF4-FFF2-40B4-BE49-F238E27FC236}">
                        <a16:creationId xmlns="" xmlns:a16="http://schemas.microsoft.com/office/drawing/2014/main" id="{00000000-0008-0000-0000-000045000000}"/>
                      </a:ext>
                    </a:extLst>
                  </xdr:cNvPr>
                  <xdr:cNvSpPr txBox="1">
                    <a:spLocks noChangeAspect="1" noChangeArrowheads="1"/>
                  </xdr:cNvSpPr>
                </xdr:nvSpPr>
                <xdr:spPr bwMode="auto">
                  <a:xfrm>
                    <a:off x="1073558" y="1152056"/>
                    <a:ext cx="2545" cy="1668"/>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xdr:txBody>
              </xdr:sp>
              <xdr:sp macro="" textlink="">
                <xdr:nvSpPr>
                  <xdr:cNvPr id="70" name="Text Box 169">
                    <a:extLst>
                      <a:ext uri="{FF2B5EF4-FFF2-40B4-BE49-F238E27FC236}">
                        <a16:creationId xmlns="" xmlns:a16="http://schemas.microsoft.com/office/drawing/2014/main" id="{00000000-0008-0000-0000-000046000000}"/>
                      </a:ext>
                    </a:extLst>
                  </xdr:cNvPr>
                  <xdr:cNvSpPr txBox="1">
                    <a:spLocks noChangeAspect="1" noChangeArrowheads="1"/>
                  </xdr:cNvSpPr>
                </xdr:nvSpPr>
                <xdr:spPr bwMode="auto">
                  <a:xfrm>
                    <a:off x="1073558" y="1153965"/>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xdr:txBody>
              </xdr:sp>
              <xdr:sp macro="" textlink="">
                <xdr:nvSpPr>
                  <xdr:cNvPr id="71" name="Text Box 168">
                    <a:extLst>
                      <a:ext uri="{FF2B5EF4-FFF2-40B4-BE49-F238E27FC236}">
                        <a16:creationId xmlns="" xmlns:a16="http://schemas.microsoft.com/office/drawing/2014/main" id="{00000000-0008-0000-0000-000047000000}"/>
                      </a:ext>
                    </a:extLst>
                  </xdr:cNvPr>
                  <xdr:cNvSpPr txBox="1">
                    <a:spLocks noChangeAspect="1" noChangeArrowheads="1"/>
                  </xdr:cNvSpPr>
                </xdr:nvSpPr>
                <xdr:spPr bwMode="auto">
                  <a:xfrm>
                    <a:off x="1073558" y="1156002"/>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xdr:txBody>
              </xdr:sp>
              <xdr:sp macro="" textlink="">
                <xdr:nvSpPr>
                  <xdr:cNvPr id="72" name="Text Box 167">
                    <a:extLst>
                      <a:ext uri="{FF2B5EF4-FFF2-40B4-BE49-F238E27FC236}">
                        <a16:creationId xmlns="" xmlns:a16="http://schemas.microsoft.com/office/drawing/2014/main" id="{00000000-0008-0000-0000-000048000000}"/>
                      </a:ext>
                    </a:extLst>
                  </xdr:cNvPr>
                  <xdr:cNvSpPr txBox="1">
                    <a:spLocks noChangeAspect="1" noChangeArrowheads="1"/>
                  </xdr:cNvSpPr>
                </xdr:nvSpPr>
                <xdr:spPr bwMode="auto">
                  <a:xfrm>
                    <a:off x="1073558" y="1158039"/>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xdr:txBody>
              </xdr:sp>
              <xdr:sp macro="" textlink="">
                <xdr:nvSpPr>
                  <xdr:cNvPr id="73" name="Text Box 166">
                    <a:extLst>
                      <a:ext uri="{FF2B5EF4-FFF2-40B4-BE49-F238E27FC236}">
                        <a16:creationId xmlns="" xmlns:a16="http://schemas.microsoft.com/office/drawing/2014/main" id="{00000000-0008-0000-0000-000049000000}"/>
                      </a:ext>
                    </a:extLst>
                  </xdr:cNvPr>
                  <xdr:cNvSpPr txBox="1">
                    <a:spLocks noChangeAspect="1" noChangeArrowheads="1"/>
                  </xdr:cNvSpPr>
                </xdr:nvSpPr>
                <xdr:spPr bwMode="auto">
                  <a:xfrm>
                    <a:off x="1073558" y="116007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xdr:txBody>
              </xdr:sp>
              <xdr:sp macro="" textlink="">
                <xdr:nvSpPr>
                  <xdr:cNvPr id="74" name="Text Box 165">
                    <a:extLst>
                      <a:ext uri="{FF2B5EF4-FFF2-40B4-BE49-F238E27FC236}">
                        <a16:creationId xmlns="" xmlns:a16="http://schemas.microsoft.com/office/drawing/2014/main" id="{00000000-0008-0000-0000-00004A000000}"/>
                      </a:ext>
                    </a:extLst>
                  </xdr:cNvPr>
                  <xdr:cNvSpPr txBox="1">
                    <a:spLocks noChangeAspect="1" noChangeArrowheads="1"/>
                  </xdr:cNvSpPr>
                </xdr:nvSpPr>
                <xdr:spPr bwMode="auto">
                  <a:xfrm>
                    <a:off x="1073558" y="1162112"/>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xdr:txBody>
              </xdr:sp>
              <xdr:sp macro="" textlink="">
                <xdr:nvSpPr>
                  <xdr:cNvPr id="75" name="Text Box 164">
                    <a:extLst>
                      <a:ext uri="{FF2B5EF4-FFF2-40B4-BE49-F238E27FC236}">
                        <a16:creationId xmlns="" xmlns:a16="http://schemas.microsoft.com/office/drawing/2014/main" id="{00000000-0008-0000-0000-00004B000000}"/>
                      </a:ext>
                    </a:extLst>
                  </xdr:cNvPr>
                  <xdr:cNvSpPr txBox="1">
                    <a:spLocks noChangeAspect="1" noChangeArrowheads="1"/>
                  </xdr:cNvSpPr>
                </xdr:nvSpPr>
                <xdr:spPr bwMode="auto">
                  <a:xfrm>
                    <a:off x="1073558" y="1164149"/>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xdr:txBody>
              </xdr:sp>
              <xdr:sp macro="" textlink="">
                <xdr:nvSpPr>
                  <xdr:cNvPr id="76" name="Text Box 163">
                    <a:extLst>
                      <a:ext uri="{FF2B5EF4-FFF2-40B4-BE49-F238E27FC236}">
                        <a16:creationId xmlns="" xmlns:a16="http://schemas.microsoft.com/office/drawing/2014/main" id="{00000000-0008-0000-0000-00004C000000}"/>
                      </a:ext>
                    </a:extLst>
                  </xdr:cNvPr>
                  <xdr:cNvSpPr txBox="1">
                    <a:spLocks noChangeAspect="1" noChangeArrowheads="1"/>
                  </xdr:cNvSpPr>
                </xdr:nvSpPr>
                <xdr:spPr bwMode="auto">
                  <a:xfrm>
                    <a:off x="1073558" y="116618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xdr:txBody>
              </xdr:sp>
              <xdr:sp macro="" textlink="">
                <xdr:nvSpPr>
                  <xdr:cNvPr id="77" name="Text Box 162">
                    <a:extLst>
                      <a:ext uri="{FF2B5EF4-FFF2-40B4-BE49-F238E27FC236}">
                        <a16:creationId xmlns="" xmlns:a16="http://schemas.microsoft.com/office/drawing/2014/main" id="{00000000-0008-0000-0000-00004D000000}"/>
                      </a:ext>
                    </a:extLst>
                  </xdr:cNvPr>
                  <xdr:cNvSpPr txBox="1">
                    <a:spLocks noChangeAspect="1" noChangeArrowheads="1"/>
                  </xdr:cNvSpPr>
                </xdr:nvSpPr>
                <xdr:spPr bwMode="auto">
                  <a:xfrm>
                    <a:off x="1073558" y="1168223"/>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xdr:txBody>
              </xdr:sp>
              <xdr:sp macro="" textlink="">
                <xdr:nvSpPr>
                  <xdr:cNvPr id="78" name="Text Box 161">
                    <a:extLst>
                      <a:ext uri="{FF2B5EF4-FFF2-40B4-BE49-F238E27FC236}">
                        <a16:creationId xmlns="" xmlns:a16="http://schemas.microsoft.com/office/drawing/2014/main" id="{00000000-0008-0000-0000-00004E000000}"/>
                      </a:ext>
                    </a:extLst>
                  </xdr:cNvPr>
                  <xdr:cNvSpPr txBox="1">
                    <a:spLocks noChangeAspect="1" noChangeArrowheads="1"/>
                  </xdr:cNvSpPr>
                </xdr:nvSpPr>
                <xdr:spPr bwMode="auto">
                  <a:xfrm>
                    <a:off x="1073558" y="1170260"/>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xdr:txBody>
              </xdr:sp>
            </xdr:grpSp>
            <xdr:sp macro="" textlink="">
              <xdr:nvSpPr>
                <xdr:cNvPr id="31" name="Text Box 159">
                  <a:extLst>
                    <a:ext uri="{FF2B5EF4-FFF2-40B4-BE49-F238E27FC236}">
                      <a16:creationId xmlns="" xmlns:a16="http://schemas.microsoft.com/office/drawing/2014/main" id="{00000000-0008-0000-0000-00001F000000}"/>
                    </a:ext>
                  </a:extLst>
                </xdr:cNvPr>
                <xdr:cNvSpPr txBox="1">
                  <a:spLocks noChangeAspect="1" noChangeArrowheads="1"/>
                </xdr:cNvSpPr>
              </xdr:nvSpPr>
              <xdr:spPr bwMode="auto">
                <a:xfrm>
                  <a:off x="1156760" y="1153246"/>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xdr:txBody>
            </xdr:sp>
            <xdr:sp macro="" textlink="">
              <xdr:nvSpPr>
                <xdr:cNvPr id="32" name="Text Box 158">
                  <a:extLst>
                    <a:ext uri="{FF2B5EF4-FFF2-40B4-BE49-F238E27FC236}">
                      <a16:creationId xmlns="" xmlns:a16="http://schemas.microsoft.com/office/drawing/2014/main" id="{00000000-0008-0000-0000-000020000000}"/>
                    </a:ext>
                  </a:extLst>
                </xdr:cNvPr>
                <xdr:cNvSpPr txBox="1">
                  <a:spLocks noChangeAspect="1" noChangeArrowheads="1"/>
                </xdr:cNvSpPr>
              </xdr:nvSpPr>
              <xdr:spPr bwMode="auto">
                <a:xfrm>
                  <a:off x="1159855" y="115875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xdr:txBody>
            </xdr:sp>
            <xdr:sp macro="" textlink="">
              <xdr:nvSpPr>
                <xdr:cNvPr id="33" name="Text Box 157">
                  <a:extLst>
                    <a:ext uri="{FF2B5EF4-FFF2-40B4-BE49-F238E27FC236}">
                      <a16:creationId xmlns="" xmlns:a16="http://schemas.microsoft.com/office/drawing/2014/main" id="{00000000-0008-0000-0000-000021000000}"/>
                    </a:ext>
                  </a:extLst>
                </xdr:cNvPr>
                <xdr:cNvSpPr txBox="1">
                  <a:spLocks noChangeAspect="1" noChangeArrowheads="1"/>
                </xdr:cNvSpPr>
              </xdr:nvSpPr>
              <xdr:spPr bwMode="auto">
                <a:xfrm>
                  <a:off x="1156284" y="1158967"/>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xdr:txBody>
            </xdr:sp>
            <xdr:sp macro="" textlink="">
              <xdr:nvSpPr>
                <xdr:cNvPr id="34" name="Text Box 156">
                  <a:extLst>
                    <a:ext uri="{FF2B5EF4-FFF2-40B4-BE49-F238E27FC236}">
                      <a16:creationId xmlns="" xmlns:a16="http://schemas.microsoft.com/office/drawing/2014/main" id="{00000000-0008-0000-0000-000022000000}"/>
                    </a:ext>
                  </a:extLst>
                </xdr:cNvPr>
                <xdr:cNvSpPr txBox="1">
                  <a:spLocks noChangeAspect="1" noChangeArrowheads="1"/>
                </xdr:cNvSpPr>
              </xdr:nvSpPr>
              <xdr:spPr bwMode="auto">
                <a:xfrm>
                  <a:off x="1155463" y="1160880"/>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xdr:txBody>
            </xdr:sp>
            <xdr:sp macro="" textlink="">
              <xdr:nvSpPr>
                <xdr:cNvPr id="35" name="Text Box 155">
                  <a:extLst>
                    <a:ext uri="{FF2B5EF4-FFF2-40B4-BE49-F238E27FC236}">
                      <a16:creationId xmlns="" xmlns:a16="http://schemas.microsoft.com/office/drawing/2014/main" id="{00000000-0008-0000-0000-000023000000}"/>
                    </a:ext>
                  </a:extLst>
                </xdr:cNvPr>
                <xdr:cNvSpPr txBox="1">
                  <a:spLocks noChangeAspect="1" noChangeArrowheads="1"/>
                </xdr:cNvSpPr>
              </xdr:nvSpPr>
              <xdr:spPr bwMode="auto">
                <a:xfrm>
                  <a:off x="1157089" y="116237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xdr:txBody>
            </xdr:sp>
            <xdr:sp macro="" textlink="">
              <xdr:nvSpPr>
                <xdr:cNvPr id="36" name="Text Box 154">
                  <a:extLst>
                    <a:ext uri="{FF2B5EF4-FFF2-40B4-BE49-F238E27FC236}">
                      <a16:creationId xmlns="" xmlns:a16="http://schemas.microsoft.com/office/drawing/2014/main" id="{00000000-0008-0000-0000-000024000000}"/>
                    </a:ext>
                  </a:extLst>
                </xdr:cNvPr>
                <xdr:cNvSpPr txBox="1">
                  <a:spLocks noChangeAspect="1" noChangeArrowheads="1"/>
                </xdr:cNvSpPr>
              </xdr:nvSpPr>
              <xdr:spPr bwMode="auto">
                <a:xfrm>
                  <a:off x="1146251" y="11620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xdr:txBody>
            </xdr:sp>
            <xdr:sp macro="" textlink="">
              <xdr:nvSpPr>
                <xdr:cNvPr id="37" name="Text Box 153">
                  <a:extLst>
                    <a:ext uri="{FF2B5EF4-FFF2-40B4-BE49-F238E27FC236}">
                      <a16:creationId xmlns="" xmlns:a16="http://schemas.microsoft.com/office/drawing/2014/main" id="{00000000-0008-0000-0000-000025000000}"/>
                    </a:ext>
                  </a:extLst>
                </xdr:cNvPr>
                <xdr:cNvSpPr txBox="1">
                  <a:spLocks noChangeAspect="1" noChangeArrowheads="1"/>
                </xdr:cNvSpPr>
              </xdr:nvSpPr>
              <xdr:spPr bwMode="auto">
                <a:xfrm>
                  <a:off x="1156986" y="116420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xdr:txBody>
            </xdr:sp>
            <xdr:sp macro="" textlink="">
              <xdr:nvSpPr>
                <xdr:cNvPr id="38" name="Text Box 152">
                  <a:extLst>
                    <a:ext uri="{FF2B5EF4-FFF2-40B4-BE49-F238E27FC236}">
                      <a16:creationId xmlns="" xmlns:a16="http://schemas.microsoft.com/office/drawing/2014/main" id="{00000000-0008-0000-0000-000026000000}"/>
                    </a:ext>
                  </a:extLst>
                </xdr:cNvPr>
                <xdr:cNvSpPr txBox="1">
                  <a:spLocks noChangeAspect="1" noChangeArrowheads="1"/>
                </xdr:cNvSpPr>
              </xdr:nvSpPr>
              <xdr:spPr bwMode="auto">
                <a:xfrm>
                  <a:off x="1157266" y="118090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xdr:txBody>
            </xdr:sp>
            <xdr:sp macro="" textlink="">
              <xdr:nvSpPr>
                <xdr:cNvPr id="39" name="Text Box 151">
                  <a:extLst>
                    <a:ext uri="{FF2B5EF4-FFF2-40B4-BE49-F238E27FC236}">
                      <a16:creationId xmlns="" xmlns:a16="http://schemas.microsoft.com/office/drawing/2014/main" id="{00000000-0008-0000-0000-000027000000}"/>
                    </a:ext>
                  </a:extLst>
                </xdr:cNvPr>
                <xdr:cNvSpPr txBox="1">
                  <a:spLocks noChangeAspect="1" noChangeArrowheads="1"/>
                </xdr:cNvSpPr>
              </xdr:nvSpPr>
              <xdr:spPr bwMode="auto">
                <a:xfrm>
                  <a:off x="1157968" y="1187287"/>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xdr:txBody>
            </xdr:sp>
            <xdr:sp macro="" textlink="">
              <xdr:nvSpPr>
                <xdr:cNvPr id="40" name="Text Box 150">
                  <a:extLst>
                    <a:ext uri="{FF2B5EF4-FFF2-40B4-BE49-F238E27FC236}">
                      <a16:creationId xmlns="" xmlns:a16="http://schemas.microsoft.com/office/drawing/2014/main" id="{00000000-0008-0000-0000-000028000000}"/>
                    </a:ext>
                  </a:extLst>
                </xdr:cNvPr>
                <xdr:cNvSpPr txBox="1">
                  <a:spLocks noChangeAspect="1" noChangeArrowheads="1"/>
                </xdr:cNvSpPr>
              </xdr:nvSpPr>
              <xdr:spPr bwMode="auto">
                <a:xfrm>
                  <a:off x="1153011"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xdr:txBody>
            </xdr:sp>
            <xdr:sp macro="" textlink="">
              <xdr:nvSpPr>
                <xdr:cNvPr id="41" name="Text Box 149">
                  <a:extLst>
                    <a:ext uri="{FF2B5EF4-FFF2-40B4-BE49-F238E27FC236}">
                      <a16:creationId xmlns="" xmlns:a16="http://schemas.microsoft.com/office/drawing/2014/main" id="{00000000-0008-0000-0000-000029000000}"/>
                    </a:ext>
                  </a:extLst>
                </xdr:cNvPr>
                <xdr:cNvSpPr txBox="1">
                  <a:spLocks noChangeAspect="1" noChangeArrowheads="1"/>
                </xdr:cNvSpPr>
              </xdr:nvSpPr>
              <xdr:spPr bwMode="auto">
                <a:xfrm>
                  <a:off x="1158487" y="1174075"/>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xdr:txBody>
            </xdr:sp>
            <xdr:sp macro="" textlink="">
              <xdr:nvSpPr>
                <xdr:cNvPr id="42" name="Text Box 148">
                  <a:extLst>
                    <a:ext uri="{FF2B5EF4-FFF2-40B4-BE49-F238E27FC236}">
                      <a16:creationId xmlns="" xmlns:a16="http://schemas.microsoft.com/office/drawing/2014/main" id="{00000000-0008-0000-0000-00002A000000}"/>
                    </a:ext>
                  </a:extLst>
                </xdr:cNvPr>
                <xdr:cNvSpPr txBox="1">
                  <a:spLocks noChangeAspect="1" noChangeArrowheads="1"/>
                </xdr:cNvSpPr>
              </xdr:nvSpPr>
              <xdr:spPr bwMode="auto">
                <a:xfrm>
                  <a:off x="1159323" y="1171313"/>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xdr:txBody>
            </xdr:sp>
            <xdr:sp macro="" textlink="">
              <xdr:nvSpPr>
                <xdr:cNvPr id="43" name="Text Box 147">
                  <a:extLst>
                    <a:ext uri="{FF2B5EF4-FFF2-40B4-BE49-F238E27FC236}">
                      <a16:creationId xmlns="" xmlns:a16="http://schemas.microsoft.com/office/drawing/2014/main" id="{00000000-0008-0000-0000-00002B000000}"/>
                    </a:ext>
                  </a:extLst>
                </xdr:cNvPr>
                <xdr:cNvSpPr txBox="1">
                  <a:spLocks noChangeAspect="1" noChangeArrowheads="1"/>
                </xdr:cNvSpPr>
              </xdr:nvSpPr>
              <xdr:spPr bwMode="auto">
                <a:xfrm>
                  <a:off x="1159679" y="116979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xdr:txBody>
            </xdr:sp>
            <xdr:sp macro="" textlink="">
              <xdr:nvSpPr>
                <xdr:cNvPr id="44" name="Text Box 146">
                  <a:extLst>
                    <a:ext uri="{FF2B5EF4-FFF2-40B4-BE49-F238E27FC236}">
                      <a16:creationId xmlns="" xmlns:a16="http://schemas.microsoft.com/office/drawing/2014/main" id="{00000000-0008-0000-0000-00002C000000}"/>
                    </a:ext>
                  </a:extLst>
                </xdr:cNvPr>
                <xdr:cNvSpPr txBox="1">
                  <a:spLocks noChangeAspect="1" noChangeArrowheads="1"/>
                </xdr:cNvSpPr>
              </xdr:nvSpPr>
              <xdr:spPr bwMode="auto">
                <a:xfrm>
                  <a:off x="1159931" y="1168098"/>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xdr:txBody>
            </xdr:sp>
            <xdr:sp macro="" textlink="">
              <xdr:nvSpPr>
                <xdr:cNvPr id="45" name="Text Box 145">
                  <a:extLst>
                    <a:ext uri="{FF2B5EF4-FFF2-40B4-BE49-F238E27FC236}">
                      <a16:creationId xmlns="" xmlns:a16="http://schemas.microsoft.com/office/drawing/2014/main" id="{00000000-0008-0000-0000-00002D000000}"/>
                    </a:ext>
                  </a:extLst>
                </xdr:cNvPr>
                <xdr:cNvSpPr txBox="1">
                  <a:spLocks noChangeAspect="1" noChangeArrowheads="1"/>
                </xdr:cNvSpPr>
              </xdr:nvSpPr>
              <xdr:spPr bwMode="auto">
                <a:xfrm>
                  <a:off x="1164669" y="11566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xdr:txBody>
            </xdr:sp>
            <xdr:sp macro="" textlink="">
              <xdr:nvSpPr>
                <xdr:cNvPr id="46" name="Text Box 144">
                  <a:extLst>
                    <a:ext uri="{FF2B5EF4-FFF2-40B4-BE49-F238E27FC236}">
                      <a16:creationId xmlns="" xmlns:a16="http://schemas.microsoft.com/office/drawing/2014/main" id="{00000000-0008-0000-0000-00002E000000}"/>
                    </a:ext>
                  </a:extLst>
                </xdr:cNvPr>
                <xdr:cNvSpPr txBox="1">
                  <a:spLocks noChangeAspect="1" noChangeArrowheads="1"/>
                </xdr:cNvSpPr>
              </xdr:nvSpPr>
              <xdr:spPr bwMode="auto">
                <a:xfrm>
                  <a:off x="1172365" y="1158571"/>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xdr:txBody>
            </xdr:sp>
            <xdr:sp macro="" textlink="">
              <xdr:nvSpPr>
                <xdr:cNvPr id="47" name="Text Box 143">
                  <a:extLst>
                    <a:ext uri="{FF2B5EF4-FFF2-40B4-BE49-F238E27FC236}">
                      <a16:creationId xmlns="" xmlns:a16="http://schemas.microsoft.com/office/drawing/2014/main" id="{00000000-0008-0000-0000-00002F000000}"/>
                    </a:ext>
                  </a:extLst>
                </xdr:cNvPr>
                <xdr:cNvSpPr txBox="1">
                  <a:spLocks noChangeAspect="1" noChangeArrowheads="1"/>
                </xdr:cNvSpPr>
              </xdr:nvSpPr>
              <xdr:spPr bwMode="auto">
                <a:xfrm>
                  <a:off x="1167708" y="1163559"/>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xdr:txBody>
            </xdr:sp>
            <xdr:sp macro="" textlink="">
              <xdr:nvSpPr>
                <xdr:cNvPr id="48" name="Text Box 142">
                  <a:extLst>
                    <a:ext uri="{FF2B5EF4-FFF2-40B4-BE49-F238E27FC236}">
                      <a16:creationId xmlns="" xmlns:a16="http://schemas.microsoft.com/office/drawing/2014/main" id="{00000000-0008-0000-0000-000030000000}"/>
                    </a:ext>
                  </a:extLst>
                </xdr:cNvPr>
                <xdr:cNvSpPr txBox="1">
                  <a:spLocks noChangeAspect="1" noChangeArrowheads="1"/>
                </xdr:cNvSpPr>
              </xdr:nvSpPr>
              <xdr:spPr bwMode="auto">
                <a:xfrm>
                  <a:off x="1166727" y="1173069"/>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xdr:txBody>
            </xdr:sp>
            <xdr:sp macro="" textlink="">
              <xdr:nvSpPr>
                <xdr:cNvPr id="49" name="Text Box 141">
                  <a:extLst>
                    <a:ext uri="{FF2B5EF4-FFF2-40B4-BE49-F238E27FC236}">
                      <a16:creationId xmlns="" xmlns:a16="http://schemas.microsoft.com/office/drawing/2014/main" id="{00000000-0008-0000-0000-000031000000}"/>
                    </a:ext>
                  </a:extLst>
                </xdr:cNvPr>
                <xdr:cNvSpPr txBox="1">
                  <a:spLocks noChangeAspect="1" noChangeArrowheads="1"/>
                </xdr:cNvSpPr>
              </xdr:nvSpPr>
              <xdr:spPr bwMode="auto">
                <a:xfrm>
                  <a:off x="1166923" y="117540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xdr:txBody>
            </xdr:sp>
            <xdr:sp macro="" textlink="">
              <xdr:nvSpPr>
                <xdr:cNvPr id="50" name="Text Box 140">
                  <a:extLst>
                    <a:ext uri="{FF2B5EF4-FFF2-40B4-BE49-F238E27FC236}">
                      <a16:creationId xmlns="" xmlns:a16="http://schemas.microsoft.com/office/drawing/2014/main" id="{00000000-0008-0000-0000-000032000000}"/>
                    </a:ext>
                  </a:extLst>
                </xdr:cNvPr>
                <xdr:cNvSpPr txBox="1">
                  <a:spLocks noChangeAspect="1" noChangeArrowheads="1"/>
                </xdr:cNvSpPr>
              </xdr:nvSpPr>
              <xdr:spPr bwMode="auto">
                <a:xfrm>
                  <a:off x="1166727" y="1178009"/>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xdr:txBody>
            </xdr:sp>
            <xdr:sp macro="" textlink="">
              <xdr:nvSpPr>
                <xdr:cNvPr id="51" name="Text Box 139">
                  <a:extLst>
                    <a:ext uri="{FF2B5EF4-FFF2-40B4-BE49-F238E27FC236}">
                      <a16:creationId xmlns="" xmlns:a16="http://schemas.microsoft.com/office/drawing/2014/main" id="{00000000-0008-0000-0000-000033000000}"/>
                    </a:ext>
                  </a:extLst>
                </xdr:cNvPr>
                <xdr:cNvSpPr txBox="1">
                  <a:spLocks noChangeAspect="1" noChangeArrowheads="1"/>
                </xdr:cNvSpPr>
              </xdr:nvSpPr>
              <xdr:spPr bwMode="auto">
                <a:xfrm>
                  <a:off x="1166394" y="118052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xdr:txBody>
            </xdr:sp>
            <xdr:sp macro="" textlink="">
              <xdr:nvSpPr>
                <xdr:cNvPr id="52" name="Text Box 138">
                  <a:extLst>
                    <a:ext uri="{FF2B5EF4-FFF2-40B4-BE49-F238E27FC236}">
                      <a16:creationId xmlns="" xmlns:a16="http://schemas.microsoft.com/office/drawing/2014/main" id="{00000000-0008-0000-0000-000034000000}"/>
                    </a:ext>
                  </a:extLst>
                </xdr:cNvPr>
                <xdr:cNvSpPr txBox="1">
                  <a:spLocks noChangeAspect="1" noChangeArrowheads="1"/>
                </xdr:cNvSpPr>
              </xdr:nvSpPr>
              <xdr:spPr bwMode="auto">
                <a:xfrm>
                  <a:off x="1166394" y="1181333"/>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xdr:txBody>
            </xdr:sp>
            <xdr:sp macro="" textlink="">
              <xdr:nvSpPr>
                <xdr:cNvPr id="53" name="Text Box 137">
                  <a:extLst>
                    <a:ext uri="{FF2B5EF4-FFF2-40B4-BE49-F238E27FC236}">
                      <a16:creationId xmlns="" xmlns:a16="http://schemas.microsoft.com/office/drawing/2014/main" id="{00000000-0008-0000-0000-000035000000}"/>
                    </a:ext>
                  </a:extLst>
                </xdr:cNvPr>
                <xdr:cNvSpPr txBox="1">
                  <a:spLocks noChangeAspect="1" noChangeArrowheads="1"/>
                </xdr:cNvSpPr>
              </xdr:nvSpPr>
              <xdr:spPr bwMode="auto">
                <a:xfrm>
                  <a:off x="1164125"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xdr:txBody>
            </xdr:sp>
            <xdr:sp macro="" textlink="">
              <xdr:nvSpPr>
                <xdr:cNvPr id="54" name="Text Box 136">
                  <a:extLst>
                    <a:ext uri="{FF2B5EF4-FFF2-40B4-BE49-F238E27FC236}">
                      <a16:creationId xmlns="" xmlns:a16="http://schemas.microsoft.com/office/drawing/2014/main" id="{00000000-0008-0000-0000-000036000000}"/>
                    </a:ext>
                  </a:extLst>
                </xdr:cNvPr>
                <xdr:cNvSpPr txBox="1">
                  <a:spLocks noChangeAspect="1" noChangeArrowheads="1"/>
                </xdr:cNvSpPr>
              </xdr:nvSpPr>
              <xdr:spPr bwMode="auto">
                <a:xfrm>
                  <a:off x="1157217" y="1191026"/>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xdr:txBody>
            </xdr:sp>
            <xdr:sp macro="" textlink="">
              <xdr:nvSpPr>
                <xdr:cNvPr id="55" name="Text Box 135">
                  <a:extLst>
                    <a:ext uri="{FF2B5EF4-FFF2-40B4-BE49-F238E27FC236}">
                      <a16:creationId xmlns="" xmlns:a16="http://schemas.microsoft.com/office/drawing/2014/main" id="{00000000-0008-0000-0000-000037000000}"/>
                    </a:ext>
                  </a:extLst>
                </xdr:cNvPr>
                <xdr:cNvSpPr txBox="1">
                  <a:spLocks noChangeAspect="1" noChangeArrowheads="1"/>
                </xdr:cNvSpPr>
              </xdr:nvSpPr>
              <xdr:spPr bwMode="auto">
                <a:xfrm>
                  <a:off x="1147233" y="117612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xdr:txBody>
            </xdr:sp>
            <xdr:sp macro="" textlink="">
              <xdr:nvSpPr>
                <xdr:cNvPr id="56" name="Text Box 134">
                  <a:extLst>
                    <a:ext uri="{FF2B5EF4-FFF2-40B4-BE49-F238E27FC236}">
                      <a16:creationId xmlns="" xmlns:a16="http://schemas.microsoft.com/office/drawing/2014/main" id="{00000000-0008-0000-0000-000038000000}"/>
                    </a:ext>
                  </a:extLst>
                </xdr:cNvPr>
                <xdr:cNvSpPr txBox="1">
                  <a:spLocks noChangeAspect="1" noChangeArrowheads="1"/>
                </xdr:cNvSpPr>
              </xdr:nvSpPr>
              <xdr:spPr bwMode="auto">
                <a:xfrm>
                  <a:off x="1147167" y="1175234"/>
                  <a:ext cx="2636" cy="1583"/>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xdr:txBody>
            </xdr:sp>
          </xdr:grpSp>
          <xdr:grpSp>
            <xdr:nvGrpSpPr>
              <xdr:cNvPr id="20" name="Group 124">
                <a:extLst>
                  <a:ext uri="{FF2B5EF4-FFF2-40B4-BE49-F238E27FC236}">
                    <a16:creationId xmlns="" xmlns:a16="http://schemas.microsoft.com/office/drawing/2014/main" id="{00000000-0008-0000-0000-000014000000}"/>
                  </a:ext>
                </a:extLst>
              </xdr:cNvPr>
              <xdr:cNvGrpSpPr>
                <a:grpSpLocks/>
              </xdr:cNvGrpSpPr>
            </xdr:nvGrpSpPr>
            <xdr:grpSpPr bwMode="auto">
              <a:xfrm>
                <a:off x="1246535" y="1194128"/>
                <a:ext cx="22459" cy="7411"/>
                <a:chOff x="1210860" y="1183945"/>
                <a:chExt cx="22458" cy="7411"/>
              </a:xfrm>
            </xdr:grpSpPr>
            <xdr:sp macro="" textlink="">
              <xdr:nvSpPr>
                <xdr:cNvPr id="22" name="Rectangle 132">
                  <a:extLst>
                    <a:ext uri="{FF2B5EF4-FFF2-40B4-BE49-F238E27FC236}">
                      <a16:creationId xmlns="" xmlns:a16="http://schemas.microsoft.com/office/drawing/2014/main" id="{00000000-0008-0000-0000-000016000000}"/>
                    </a:ext>
                  </a:extLst>
                </xdr:cNvPr>
                <xdr:cNvSpPr>
                  <a:spLocks noChangeArrowheads="1"/>
                </xdr:cNvSpPr>
              </xdr:nvSpPr>
              <xdr:spPr bwMode="auto">
                <a:xfrm>
                  <a:off x="1210860" y="1183945"/>
                  <a:ext cx="22458" cy="7411"/>
                </a:xfrm>
                <a:prstGeom prst="rect">
                  <a:avLst/>
                </a:prstGeom>
                <a:solidFill>
                  <a:srgbClr val="FFFFFF"/>
                </a:solidFill>
                <a:ln w="1270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 name="AutoShape 131">
                  <a:extLst>
                    <a:ext uri="{FF2B5EF4-FFF2-40B4-BE49-F238E27FC236}">
                      <a16:creationId xmlns="" xmlns:a16="http://schemas.microsoft.com/office/drawing/2014/main" id="{00000000-0008-0000-0000-000017000000}"/>
                    </a:ext>
                  </a:extLst>
                </xdr:cNvPr>
                <xdr:cNvSpPr>
                  <a:spLocks noChangeShapeType="1"/>
                </xdr:cNvSpPr>
              </xdr:nvSpPr>
              <xdr:spPr bwMode="auto">
                <a:xfrm flipV="1">
                  <a:off x="1229160" y="1187547"/>
                  <a:ext cx="36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 name="AutoShape 130">
                  <a:extLst>
                    <a:ext uri="{FF2B5EF4-FFF2-40B4-BE49-F238E27FC236}">
                      <a16:creationId xmlns="" xmlns:a16="http://schemas.microsoft.com/office/drawing/2014/main" id="{00000000-0008-0000-0000-000018000000}"/>
                    </a:ext>
                  </a:extLst>
                </xdr:cNvPr>
                <xdr:cNvSpPr>
                  <a:spLocks noChangeShapeType="1"/>
                </xdr:cNvSpPr>
              </xdr:nvSpPr>
              <xdr:spPr bwMode="auto">
                <a:xfrm flipV="1">
                  <a:off x="1214760" y="1190344"/>
                  <a:ext cx="180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5" name="AutoShape 129">
                  <a:extLst>
                    <a:ext uri="{FF2B5EF4-FFF2-40B4-BE49-F238E27FC236}">
                      <a16:creationId xmlns="" xmlns:a16="http://schemas.microsoft.com/office/drawing/2014/main" id="{00000000-0008-0000-0000-000019000000}"/>
                    </a:ext>
                  </a:extLst>
                </xdr:cNvPr>
                <xdr:cNvSpPr>
                  <a:spLocks noChangeShapeType="1"/>
                </xdr:cNvSpPr>
              </xdr:nvSpPr>
              <xdr:spPr bwMode="auto">
                <a:xfrm flipV="1">
                  <a:off x="1225560" y="1188882"/>
                  <a:ext cx="72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6" name="Text Box 128">
                  <a:extLst>
                    <a:ext uri="{FF2B5EF4-FFF2-40B4-BE49-F238E27FC236}">
                      <a16:creationId xmlns="" xmlns:a16="http://schemas.microsoft.com/office/drawing/2014/main" id="{00000000-0008-0000-0000-00001A000000}"/>
                    </a:ext>
                  </a:extLst>
                </xdr:cNvPr>
                <xdr:cNvSpPr txBox="1">
                  <a:spLocks noChangeArrowheads="1"/>
                </xdr:cNvSpPr>
              </xdr:nvSpPr>
              <xdr:spPr bwMode="auto">
                <a:xfrm>
                  <a:off x="1226252" y="1186554"/>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xdr:txBody>
            </xdr:sp>
            <xdr:sp macro="" textlink="">
              <xdr:nvSpPr>
                <xdr:cNvPr id="27" name="Text Box 127">
                  <a:extLst>
                    <a:ext uri="{FF2B5EF4-FFF2-40B4-BE49-F238E27FC236}">
                      <a16:creationId xmlns="" xmlns:a16="http://schemas.microsoft.com/office/drawing/2014/main" id="{00000000-0008-0000-0000-00001B000000}"/>
                    </a:ext>
                  </a:extLst>
                </xdr:cNvPr>
                <xdr:cNvSpPr txBox="1">
                  <a:spLocks noChangeArrowheads="1"/>
                </xdr:cNvSpPr>
              </xdr:nvSpPr>
              <xdr:spPr bwMode="auto">
                <a:xfrm>
                  <a:off x="1222571" y="1187899"/>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xdr:txBody>
            </xdr:sp>
            <xdr:sp macro="" textlink="">
              <xdr:nvSpPr>
                <xdr:cNvPr id="28" name="Text Box 126">
                  <a:extLst>
                    <a:ext uri="{FF2B5EF4-FFF2-40B4-BE49-F238E27FC236}">
                      <a16:creationId xmlns="" xmlns:a16="http://schemas.microsoft.com/office/drawing/2014/main" id="{00000000-0008-0000-0000-00001C000000}"/>
                    </a:ext>
                  </a:extLst>
                </xdr:cNvPr>
                <xdr:cNvSpPr txBox="1">
                  <a:spLocks noChangeArrowheads="1"/>
                </xdr:cNvSpPr>
              </xdr:nvSpPr>
              <xdr:spPr bwMode="auto">
                <a:xfrm>
                  <a:off x="1211855" y="1189328"/>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xdr:txBody>
            </xdr:sp>
            <xdr:sp macro="" textlink="">
              <xdr:nvSpPr>
                <xdr:cNvPr id="29" name="Text Box 125">
                  <a:extLst>
                    <a:ext uri="{FF2B5EF4-FFF2-40B4-BE49-F238E27FC236}">
                      <a16:creationId xmlns="" xmlns:a16="http://schemas.microsoft.com/office/drawing/2014/main" id="{00000000-0008-0000-0000-00001D000000}"/>
                    </a:ext>
                  </a:extLst>
                </xdr:cNvPr>
                <xdr:cNvSpPr txBox="1">
                  <a:spLocks noChangeArrowheads="1"/>
                </xdr:cNvSpPr>
              </xdr:nvSpPr>
              <xdr:spPr bwMode="auto">
                <a:xfrm>
                  <a:off x="1211664" y="1184526"/>
                  <a:ext cx="21654" cy="2230"/>
                </a:xfrm>
                <a:prstGeom prst="rect">
                  <a:avLst/>
                </a:prstGeom>
                <a:noFill/>
                <a:ln w="12700">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xdr:txBody>
            </xdr:sp>
          </xdr:grpSp>
          <xdr:pic>
            <xdr:nvPicPr>
              <xdr:cNvPr id="21" name="Picture 20" descr="key for track infomation">
                <a:extLst>
                  <a:ext uri="{FF2B5EF4-FFF2-40B4-BE49-F238E27FC236}">
                    <a16:creationId xmlns=""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254350" y="1171699"/>
                <a:ext cx="14662" cy="223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pic>
        </xdr:grpSp>
      </xdr:grpSp>
      <xdr:sp macro="" textlink="">
        <xdr:nvSpPr>
          <xdr:cNvPr id="142" name="TextBox 141">
            <a:extLst>
              <a:ext uri="{FF2B5EF4-FFF2-40B4-BE49-F238E27FC236}">
                <a16:creationId xmlns="" xmlns:a16="http://schemas.microsoft.com/office/drawing/2014/main" id="{00000000-0008-0000-0000-00008E000000}"/>
              </a:ext>
            </a:extLst>
          </xdr:cNvPr>
          <xdr:cNvSpPr txBox="1"/>
        </xdr:nvSpPr>
        <xdr:spPr>
          <a:xfrm rot="16200000">
            <a:off x="3633109" y="3878037"/>
            <a:ext cx="1279072" cy="2993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50"/>
              <a:t>Height</a:t>
            </a:r>
            <a:r>
              <a:rPr lang="en-GB" sz="1050" baseline="0"/>
              <a:t> up Hill (m)</a:t>
            </a:r>
            <a:endParaRPr lang="en-GB" sz="1050"/>
          </a:p>
        </xdr:txBody>
      </xdr:sp>
    </xdr:grpSp>
    <xdr:clientData/>
  </xdr:twoCellAnchor>
  <xdr:twoCellAnchor>
    <xdr:from>
      <xdr:col>31</xdr:col>
      <xdr:colOff>582384</xdr:colOff>
      <xdr:row>202</xdr:row>
      <xdr:rowOff>92537</xdr:rowOff>
    </xdr:from>
    <xdr:to>
      <xdr:col>31</xdr:col>
      <xdr:colOff>14363699</xdr:colOff>
      <xdr:row>237</xdr:row>
      <xdr:rowOff>0</xdr:rowOff>
    </xdr:to>
    <xdr:graphicFrame macro="">
      <xdr:nvGraphicFramePr>
        <xdr:cNvPr id="11" name="Chart 10">
          <a:extLst>
            <a:ext uri="{FF2B5EF4-FFF2-40B4-BE49-F238E27FC236}">
              <a16:creationId xmlns=""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xdr:colOff>
      <xdr:row>1</xdr:row>
      <xdr:rowOff>162706</xdr:rowOff>
    </xdr:from>
    <xdr:to>
      <xdr:col>7</xdr:col>
      <xdr:colOff>1681</xdr:colOff>
      <xdr:row>20</xdr:row>
      <xdr:rowOff>200807</xdr:rowOff>
    </xdr:to>
    <xdr:grpSp>
      <xdr:nvGrpSpPr>
        <xdr:cNvPr id="2" name="Group 25">
          <a:extLst>
            <a:ext uri="{FF2B5EF4-FFF2-40B4-BE49-F238E27FC236}">
              <a16:creationId xmlns="" xmlns:a16="http://schemas.microsoft.com/office/drawing/2014/main" id="{00000000-0008-0000-0100-000002000000}"/>
            </a:ext>
          </a:extLst>
        </xdr:cNvPr>
        <xdr:cNvGrpSpPr>
          <a:grpSpLocks/>
        </xdr:cNvGrpSpPr>
      </xdr:nvGrpSpPr>
      <xdr:grpSpPr bwMode="auto">
        <a:xfrm>
          <a:off x="28765500" y="567519"/>
          <a:ext cx="8216994" cy="4562476"/>
          <a:chOff x="106860975" y="105289350"/>
          <a:chExt cx="6609369" cy="3656334"/>
        </a:xfrm>
      </xdr:grpSpPr>
      <xdr:pic>
        <xdr:nvPicPr>
          <xdr:cNvPr id="3" name="Picture 2">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4" name="AutoShape 27">
            <a:extLst>
              <a:ext uri="{FF2B5EF4-FFF2-40B4-BE49-F238E27FC236}">
                <a16:creationId xmlns="" xmlns:a16="http://schemas.microsoft.com/office/drawing/2014/main" id="{00000000-0008-0000-0100-000004000000}"/>
              </a:ext>
            </a:extLst>
          </xdr:cNvPr>
          <xdr:cNvCxnSpPr>
            <a:cxnSpLocks noChangeShapeType="1"/>
          </xdr:cNvCxnSpPr>
        </xdr:nvCxnSpPr>
        <xdr:spPr bwMode="auto">
          <a:xfrm flipV="1">
            <a:off x="107858743" y="105538878"/>
            <a:ext cx="4608000" cy="0"/>
          </a:xfrm>
          <a:prstGeom prst="straightConnector1">
            <a:avLst/>
          </a:prstGeom>
          <a:noFill/>
          <a:ln w="22225">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5" name="AutoShape 28">
            <a:extLst>
              <a:ext uri="{FF2B5EF4-FFF2-40B4-BE49-F238E27FC236}">
                <a16:creationId xmlns="" xmlns:a16="http://schemas.microsoft.com/office/drawing/2014/main" id="{00000000-0008-0000-0100-000005000000}"/>
              </a:ext>
            </a:extLst>
          </xdr:cNvPr>
          <xdr:cNvCxnSpPr>
            <a:cxnSpLocks noChangeShapeType="1"/>
          </xdr:cNvCxnSpPr>
        </xdr:nvCxnSpPr>
        <xdr:spPr bwMode="auto">
          <a:xfrm flipV="1">
            <a:off x="107833405" y="108815290"/>
            <a:ext cx="4608000" cy="0"/>
          </a:xfrm>
          <a:prstGeom prst="straightConnector1">
            <a:avLst/>
          </a:prstGeom>
          <a:noFill/>
          <a:ln w="22225"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6" name="AutoShape 29">
            <a:extLst>
              <a:ext uri="{FF2B5EF4-FFF2-40B4-BE49-F238E27FC236}">
                <a16:creationId xmlns="" xmlns:a16="http://schemas.microsoft.com/office/drawing/2014/main" id="{00000000-0008-0000-0100-000006000000}"/>
              </a:ext>
            </a:extLst>
          </xdr:cNvPr>
          <xdr:cNvCxnSpPr>
            <a:cxnSpLocks noChangeShapeType="1"/>
          </xdr:cNvCxnSpPr>
        </xdr:nvCxnSpPr>
        <xdr:spPr bwMode="auto">
          <a:xfrm flipV="1">
            <a:off x="107849734" y="105538878"/>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7" name="AutoShape 30">
            <a:extLst>
              <a:ext uri="{FF2B5EF4-FFF2-40B4-BE49-F238E27FC236}">
                <a16:creationId xmlns="" xmlns:a16="http://schemas.microsoft.com/office/drawing/2014/main" id="{00000000-0008-0000-0100-000007000000}"/>
              </a:ext>
            </a:extLst>
          </xdr:cNvPr>
          <xdr:cNvCxnSpPr>
            <a:cxnSpLocks noChangeShapeType="1"/>
          </xdr:cNvCxnSpPr>
        </xdr:nvCxnSpPr>
        <xdr:spPr bwMode="auto">
          <a:xfrm flipV="1">
            <a:off x="112417792" y="105545107"/>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8" name="Text Box 31">
            <a:extLst>
              <a:ext uri="{FF2B5EF4-FFF2-40B4-BE49-F238E27FC236}">
                <a16:creationId xmlns="" xmlns:a16="http://schemas.microsoft.com/office/drawing/2014/main" id="{00000000-0008-0000-0100-000008000000}"/>
              </a:ext>
            </a:extLst>
          </xdr:cNvPr>
          <xdr:cNvSpPr txBox="1">
            <a:spLocks noChangeArrowheads="1"/>
          </xdr:cNvSpPr>
        </xdr:nvSpPr>
        <xdr:spPr bwMode="auto">
          <a:xfrm>
            <a:off x="112597736" y="105496335"/>
            <a:ext cx="544300" cy="332864"/>
          </a:xfrm>
          <a:prstGeom prst="rect">
            <a:avLst/>
          </a:prstGeom>
          <a:solidFill>
            <a:srgbClr val="FFFFFF"/>
          </a:solidFill>
          <a:ln w="22225"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6</xdr:col>
      <xdr:colOff>133350</xdr:colOff>
      <xdr:row>20</xdr:row>
      <xdr:rowOff>169039</xdr:rowOff>
    </xdr:from>
    <xdr:to>
      <xdr:col>6</xdr:col>
      <xdr:colOff>7932964</xdr:colOff>
      <xdr:row>28</xdr:row>
      <xdr:rowOff>81644</xdr:rowOff>
    </xdr:to>
    <xdr:sp macro="" textlink="">
      <xdr:nvSpPr>
        <xdr:cNvPr id="9" name="Text Box 32">
          <a:extLst>
            <a:ext uri="{FF2B5EF4-FFF2-40B4-BE49-F238E27FC236}">
              <a16:creationId xmlns="" xmlns:a16="http://schemas.microsoft.com/office/drawing/2014/main" id="{00000000-0008-0000-0100-000009000000}"/>
            </a:ext>
          </a:extLst>
        </xdr:cNvPr>
        <xdr:cNvSpPr txBox="1">
          <a:spLocks noChangeArrowheads="1"/>
        </xdr:cNvSpPr>
      </xdr:nvSpPr>
      <xdr:spPr bwMode="auto">
        <a:xfrm>
          <a:off x="28832175" y="4950589"/>
          <a:ext cx="7799614" cy="174140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1350mm height of the Buggy is equivelent to </a:t>
          </a:r>
          <a:r>
            <a:rPr lang="en-GB" sz="1100" b="0" i="0" baseline="0">
              <a:effectLst/>
              <a:latin typeface="Arial" panose="020B0604020202020204" pitchFamily="34" charset="0"/>
              <a:ea typeface="+mn-ea"/>
              <a:cs typeface="Arial" panose="020B0604020202020204" pitchFamily="34" charset="0"/>
            </a:rPr>
            <a:t>31.8 blocks. Giving each</a:t>
          </a:r>
          <a:r>
            <a:rPr lang="en-GB" sz="1100" b="0" i="0" u="none" strike="noStrike" baseline="0">
              <a:solidFill>
                <a:srgbClr val="000000"/>
              </a:solidFill>
              <a:latin typeface="Arial" panose="020B0604020202020204" pitchFamily="34" charset="0"/>
              <a:cs typeface="Arial" panose="020B0604020202020204" pitchFamily="34" charset="0"/>
            </a:rPr>
            <a:t> block height of 42.45mm.</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1820mm width of the Buggy is equivelent to </a:t>
          </a:r>
          <a:r>
            <a:rPr lang="en-GB" sz="1100" b="0" i="0" baseline="0">
              <a:effectLst/>
              <a:latin typeface="Arial" panose="020B0604020202020204" pitchFamily="34" charset="0"/>
              <a:ea typeface="+mn-ea"/>
              <a:cs typeface="Arial" panose="020B0604020202020204" pitchFamily="34" charset="0"/>
            </a:rPr>
            <a:t>44.4 blocks. equaling each </a:t>
          </a:r>
          <a:r>
            <a:rPr lang="en-GB" sz="1100" b="0" i="0" u="none" strike="noStrike" baseline="0">
              <a:solidFill>
                <a:srgbClr val="000000"/>
              </a:solidFill>
              <a:latin typeface="Arial" panose="020B0604020202020204" pitchFamily="34" charset="0"/>
              <a:cs typeface="Arial" panose="020B0604020202020204" pitchFamily="34" charset="0"/>
            </a:rPr>
            <a:t>block width of 40.99mm.</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Block area is equivelent to = 42.45x40.99 = 1740mm²</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wheel = 82 blocks </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of the buggy (not including wheel) =400.5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buggy with wheel = 482.5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Therefore whole buggy = 965 blocks (</a:t>
          </a:r>
          <a:r>
            <a:rPr lang="en-GB" sz="1100" b="0" i="0" baseline="0">
              <a:effectLst/>
              <a:latin typeface="Arial" panose="020B0604020202020204" pitchFamily="34" charset="0"/>
              <a:ea typeface="+mn-ea"/>
              <a:cs typeface="Arial" panose="020B0604020202020204" pitchFamily="34" charset="0"/>
            </a:rPr>
            <a:t>482.5 x 2)</a:t>
          </a: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965 Blocks x 1740mm²= 1659800mm² or 1.6598m² for the total frontal area of the Buggy.  </a:t>
          </a:r>
        </a:p>
        <a:p>
          <a:pPr algn="l" rtl="0">
            <a:defRPr sz="1000"/>
          </a:pPr>
          <a:endParaRPr lang="en-GB" sz="1000" b="0" i="0" u="none" strike="noStrike" baseline="0">
            <a:solidFill>
              <a:srgbClr val="000000"/>
            </a:solidFill>
            <a:latin typeface="+mn-lt"/>
            <a:cs typeface="Calibri"/>
          </a:endParaRP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xdr:txBody>
    </xdr:sp>
    <xdr:clientData/>
  </xdr:twoCellAnchor>
  <xdr:twoCellAnchor>
    <xdr:from>
      <xdr:col>31</xdr:col>
      <xdr:colOff>557893</xdr:colOff>
      <xdr:row>1</xdr:row>
      <xdr:rowOff>87086</xdr:rowOff>
    </xdr:from>
    <xdr:to>
      <xdr:col>31</xdr:col>
      <xdr:colOff>14644687</xdr:colOff>
      <xdr:row>20</xdr:row>
      <xdr:rowOff>204106</xdr:rowOff>
    </xdr:to>
    <xdr:graphicFrame macro="">
      <xdr:nvGraphicFramePr>
        <xdr:cNvPr id="10" name="Chart 9">
          <a:extLst>
            <a:ext uri="{FF2B5EF4-FFF2-40B4-BE49-F238E27FC236}">
              <a16:creationId xmlns="" xmlns:a16="http://schemas.microsoft.com/office/drawing/2014/main" id="{00000000-0008-0000-0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31</xdr:col>
      <xdr:colOff>618361</xdr:colOff>
      <xdr:row>81</xdr:row>
      <xdr:rowOff>3969</xdr:rowOff>
    </xdr:from>
    <xdr:to>
      <xdr:col>31</xdr:col>
      <xdr:colOff>14484575</xdr:colOff>
      <xdr:row>104</xdr:row>
      <xdr:rowOff>0</xdr:rowOff>
    </xdr:to>
    <xdr:graphicFrame macro="">
      <xdr:nvGraphicFramePr>
        <xdr:cNvPr id="11" name="Chart 10">
          <a:extLst>
            <a:ext uri="{FF2B5EF4-FFF2-40B4-BE49-F238E27FC236}">
              <a16:creationId xmlns="" xmlns:a16="http://schemas.microsoft.com/office/drawing/2014/main" id="{00000000-0008-0000-0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31</xdr:col>
      <xdr:colOff>617340</xdr:colOff>
      <xdr:row>60</xdr:row>
      <xdr:rowOff>7028</xdr:rowOff>
    </xdr:from>
    <xdr:to>
      <xdr:col>31</xdr:col>
      <xdr:colOff>14487279</xdr:colOff>
      <xdr:row>80</xdr:row>
      <xdr:rowOff>93517</xdr:rowOff>
    </xdr:to>
    <xdr:graphicFrame macro="">
      <xdr:nvGraphicFramePr>
        <xdr:cNvPr id="12" name="Chart 11">
          <a:extLst>
            <a:ext uri="{FF2B5EF4-FFF2-40B4-BE49-F238E27FC236}">
              <a16:creationId xmlns="" xmlns:a16="http://schemas.microsoft.com/office/drawing/2014/main" id="{00000000-0008-0000-0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31</xdr:col>
      <xdr:colOff>606517</xdr:colOff>
      <xdr:row>39</xdr:row>
      <xdr:rowOff>24091</xdr:rowOff>
    </xdr:from>
    <xdr:to>
      <xdr:col>31</xdr:col>
      <xdr:colOff>14515936</xdr:colOff>
      <xdr:row>58</xdr:row>
      <xdr:rowOff>171448</xdr:rowOff>
    </xdr:to>
    <xdr:graphicFrame macro="">
      <xdr:nvGraphicFramePr>
        <xdr:cNvPr id="13" name="Chart 12">
          <a:extLst>
            <a:ext uri="{FF2B5EF4-FFF2-40B4-BE49-F238E27FC236}">
              <a16:creationId xmlns="" xmlns:a16="http://schemas.microsoft.com/office/drawing/2014/main" id="{00000000-0008-0000-01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31</xdr:col>
      <xdr:colOff>670926</xdr:colOff>
      <xdr:row>129</xdr:row>
      <xdr:rowOff>39017</xdr:rowOff>
    </xdr:from>
    <xdr:to>
      <xdr:col>31</xdr:col>
      <xdr:colOff>14386270</xdr:colOff>
      <xdr:row>154</xdr:row>
      <xdr:rowOff>48695</xdr:rowOff>
    </xdr:to>
    <xdr:graphicFrame macro="">
      <xdr:nvGraphicFramePr>
        <xdr:cNvPr id="14" name="Chart 13">
          <a:extLst>
            <a:ext uri="{FF2B5EF4-FFF2-40B4-BE49-F238E27FC236}">
              <a16:creationId xmlns="" xmlns:a16="http://schemas.microsoft.com/office/drawing/2014/main" id="{00000000-0008-0000-01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31</xdr:col>
      <xdr:colOff>571499</xdr:colOff>
      <xdr:row>21</xdr:row>
      <xdr:rowOff>8165</xdr:rowOff>
    </xdr:from>
    <xdr:to>
      <xdr:col>31</xdr:col>
      <xdr:colOff>14608657</xdr:colOff>
      <xdr:row>38</xdr:row>
      <xdr:rowOff>103414</xdr:rowOff>
    </xdr:to>
    <xdr:graphicFrame macro="">
      <xdr:nvGraphicFramePr>
        <xdr:cNvPr id="15" name="Chart 14">
          <a:extLst>
            <a:ext uri="{FF2B5EF4-FFF2-40B4-BE49-F238E27FC236}">
              <a16:creationId xmlns="" xmlns:a16="http://schemas.microsoft.com/office/drawing/2014/main" id="{00000000-0008-0000-0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31</xdr:col>
      <xdr:colOff>649429</xdr:colOff>
      <xdr:row>104</xdr:row>
      <xdr:rowOff>38099</xdr:rowOff>
    </xdr:from>
    <xdr:to>
      <xdr:col>31</xdr:col>
      <xdr:colOff>14402317</xdr:colOff>
      <xdr:row>128</xdr:row>
      <xdr:rowOff>6927</xdr:rowOff>
    </xdr:to>
    <xdr:graphicFrame macro="">
      <xdr:nvGraphicFramePr>
        <xdr:cNvPr id="16" name="Chart 15">
          <a:extLst>
            <a:ext uri="{FF2B5EF4-FFF2-40B4-BE49-F238E27FC236}">
              <a16:creationId xmlns="" xmlns:a16="http://schemas.microsoft.com/office/drawing/2014/main" id="{00000000-0008-0000-01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31</xdr:col>
      <xdr:colOff>677956</xdr:colOff>
      <xdr:row>155</xdr:row>
      <xdr:rowOff>15687</xdr:rowOff>
    </xdr:from>
    <xdr:to>
      <xdr:col>31</xdr:col>
      <xdr:colOff>14409964</xdr:colOff>
      <xdr:row>197</xdr:row>
      <xdr:rowOff>68035</xdr:rowOff>
    </xdr:to>
    <xdr:graphicFrame macro="">
      <xdr:nvGraphicFramePr>
        <xdr:cNvPr id="17" name="Chart 16">
          <a:extLst>
            <a:ext uri="{FF2B5EF4-FFF2-40B4-BE49-F238E27FC236}">
              <a16:creationId xmlns="" xmlns:a16="http://schemas.microsoft.com/office/drawing/2014/main" id="{00000000-0008-0000-01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5</xdr:col>
      <xdr:colOff>58429</xdr:colOff>
      <xdr:row>1</xdr:row>
      <xdr:rowOff>55305</xdr:rowOff>
    </xdr:from>
    <xdr:to>
      <xdr:col>5</xdr:col>
      <xdr:colOff>8543676</xdr:colOff>
      <xdr:row>25</xdr:row>
      <xdr:rowOff>129589</xdr:rowOff>
    </xdr:to>
    <xdr:pic>
      <xdr:nvPicPr>
        <xdr:cNvPr id="18" name="Picture 17" descr="Image result for rage comet r buggy">
          <a:extLst>
            <a:ext uri="{FF2B5EF4-FFF2-40B4-BE49-F238E27FC236}">
              <a16:creationId xmlns="" xmlns:a16="http://schemas.microsoft.com/office/drawing/2014/main" id="{00000000-0008-0000-0100-000012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0197000" y="449912"/>
          <a:ext cx="8485247" cy="5653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68036</xdr:colOff>
      <xdr:row>1</xdr:row>
      <xdr:rowOff>123149</xdr:rowOff>
    </xdr:from>
    <xdr:to>
      <xdr:col>2</xdr:col>
      <xdr:colOff>7511143</xdr:colOff>
      <xdr:row>31</xdr:row>
      <xdr:rowOff>49791</xdr:rowOff>
    </xdr:to>
    <xdr:grpSp>
      <xdr:nvGrpSpPr>
        <xdr:cNvPr id="19" name="Group 18">
          <a:extLst>
            <a:ext uri="{FF2B5EF4-FFF2-40B4-BE49-F238E27FC236}">
              <a16:creationId xmlns="" xmlns:a16="http://schemas.microsoft.com/office/drawing/2014/main" id="{00000000-0008-0000-0100-000013000000}"/>
            </a:ext>
          </a:extLst>
        </xdr:cNvPr>
        <xdr:cNvGrpSpPr/>
      </xdr:nvGrpSpPr>
      <xdr:grpSpPr>
        <a:xfrm>
          <a:off x="4092349" y="527962"/>
          <a:ext cx="7443107" cy="7070392"/>
          <a:chOff x="4082143" y="517756"/>
          <a:chExt cx="7235598" cy="6907106"/>
        </a:xfrm>
      </xdr:grpSpPr>
      <xdr:grpSp>
        <xdr:nvGrpSpPr>
          <xdr:cNvPr id="20" name="Group 121">
            <a:extLst>
              <a:ext uri="{FF2B5EF4-FFF2-40B4-BE49-F238E27FC236}">
                <a16:creationId xmlns="" xmlns:a16="http://schemas.microsoft.com/office/drawing/2014/main" id="{00000000-0008-0000-0100-000014000000}"/>
              </a:ext>
            </a:extLst>
          </xdr:cNvPr>
          <xdr:cNvGrpSpPr>
            <a:grpSpLocks/>
          </xdr:cNvGrpSpPr>
        </xdr:nvGrpSpPr>
        <xdr:grpSpPr bwMode="auto">
          <a:xfrm>
            <a:off x="4082143" y="517756"/>
            <a:ext cx="7235598" cy="6907106"/>
            <a:chOff x="1208161" y="1138165"/>
            <a:chExt cx="66553" cy="65081"/>
          </a:xfrm>
        </xdr:grpSpPr>
        <xdr:sp macro="" textlink="">
          <xdr:nvSpPr>
            <xdr:cNvPr id="22" name="Rectangle 235">
              <a:extLst>
                <a:ext uri="{FF2B5EF4-FFF2-40B4-BE49-F238E27FC236}">
                  <a16:creationId xmlns="" xmlns:a16="http://schemas.microsoft.com/office/drawing/2014/main" id="{00000000-0008-0000-0100-000016000000}"/>
                </a:ext>
              </a:extLst>
            </xdr:cNvPr>
            <xdr:cNvSpPr>
              <a:spLocks noChangeArrowheads="1"/>
            </xdr:cNvSpPr>
          </xdr:nvSpPr>
          <xdr:spPr bwMode="auto">
            <a:xfrm>
              <a:off x="1208161" y="1138165"/>
              <a:ext cx="66553" cy="65081"/>
            </a:xfrm>
            <a:prstGeom prst="rect">
              <a:avLst/>
            </a:prstGeom>
            <a:solidFill>
              <a:srgbClr val="FFFFFF"/>
            </a:solidFill>
            <a:ln w="25400">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nvGrpSpPr>
            <xdr:cNvPr id="23" name="Group 122">
              <a:extLst>
                <a:ext uri="{FF2B5EF4-FFF2-40B4-BE49-F238E27FC236}">
                  <a16:creationId xmlns="" xmlns:a16="http://schemas.microsoft.com/office/drawing/2014/main" id="{00000000-0008-0000-0100-000017000000}"/>
                </a:ext>
              </a:extLst>
            </xdr:cNvPr>
            <xdr:cNvGrpSpPr>
              <a:grpSpLocks/>
            </xdr:cNvGrpSpPr>
          </xdr:nvGrpSpPr>
          <xdr:grpSpPr bwMode="auto">
            <a:xfrm>
              <a:off x="1210244" y="1140816"/>
              <a:ext cx="63311" cy="60722"/>
              <a:chOff x="1205702" y="1141521"/>
              <a:chExt cx="63310" cy="60721"/>
            </a:xfrm>
          </xdr:grpSpPr>
          <xdr:grpSp>
            <xdr:nvGrpSpPr>
              <xdr:cNvPr id="24" name="Group 133">
                <a:extLst>
                  <a:ext uri="{FF2B5EF4-FFF2-40B4-BE49-F238E27FC236}">
                    <a16:creationId xmlns="" xmlns:a16="http://schemas.microsoft.com/office/drawing/2014/main" id="{00000000-0008-0000-0100-000018000000}"/>
                  </a:ext>
                </a:extLst>
              </xdr:cNvPr>
              <xdr:cNvGrpSpPr>
                <a:grpSpLocks noChangeAspect="1"/>
              </xdr:cNvGrpSpPr>
            </xdr:nvGrpSpPr>
            <xdr:grpSpPr bwMode="auto">
              <a:xfrm>
                <a:off x="1205702" y="1141521"/>
                <a:ext cx="63307" cy="60721"/>
                <a:chOff x="1136185" y="1151158"/>
                <a:chExt cx="44209" cy="42404"/>
              </a:xfrm>
            </xdr:grpSpPr>
            <xdr:grpSp>
              <xdr:nvGrpSpPr>
                <xdr:cNvPr id="35" name="Group 160">
                  <a:extLst>
                    <a:ext uri="{FF2B5EF4-FFF2-40B4-BE49-F238E27FC236}">
                      <a16:creationId xmlns="" xmlns:a16="http://schemas.microsoft.com/office/drawing/2014/main" id="{00000000-0008-0000-0100-000023000000}"/>
                    </a:ext>
                  </a:extLst>
                </xdr:cNvPr>
                <xdr:cNvGrpSpPr>
                  <a:grpSpLocks noChangeAspect="1"/>
                </xdr:cNvGrpSpPr>
              </xdr:nvGrpSpPr>
              <xdr:grpSpPr bwMode="auto">
                <a:xfrm>
                  <a:off x="1136185" y="1151158"/>
                  <a:ext cx="44209" cy="42404"/>
                  <a:chOff x="1073558" y="1152056"/>
                  <a:chExt cx="44208" cy="42404"/>
                </a:xfrm>
              </xdr:grpSpPr>
              <xdr:grpSp>
                <xdr:nvGrpSpPr>
                  <xdr:cNvPr id="62" name="Group 182">
                    <a:extLst>
                      <a:ext uri="{FF2B5EF4-FFF2-40B4-BE49-F238E27FC236}">
                        <a16:creationId xmlns="" xmlns:a16="http://schemas.microsoft.com/office/drawing/2014/main" id="{00000000-0008-0000-0100-00003E000000}"/>
                      </a:ext>
                    </a:extLst>
                  </xdr:cNvPr>
                  <xdr:cNvGrpSpPr>
                    <a:grpSpLocks noChangeAspect="1"/>
                  </xdr:cNvGrpSpPr>
                </xdr:nvGrpSpPr>
                <xdr:grpSpPr bwMode="auto">
                  <a:xfrm>
                    <a:off x="1076240" y="1152953"/>
                    <a:ext cx="41526" cy="40988"/>
                    <a:chOff x="1077795" y="1104147"/>
                    <a:chExt cx="41526" cy="40988"/>
                  </a:xfrm>
                </xdr:grpSpPr>
                <xdr:grpSp>
                  <xdr:nvGrpSpPr>
                    <xdr:cNvPr id="84" name="Group 184">
                      <a:extLst>
                        <a:ext uri="{FF2B5EF4-FFF2-40B4-BE49-F238E27FC236}">
                          <a16:creationId xmlns="" xmlns:a16="http://schemas.microsoft.com/office/drawing/2014/main" id="{00000000-0008-0000-0100-000054000000}"/>
                        </a:ext>
                      </a:extLst>
                    </xdr:cNvPr>
                    <xdr:cNvGrpSpPr>
                      <a:grpSpLocks noChangeAspect="1"/>
                    </xdr:cNvGrpSpPr>
                  </xdr:nvGrpSpPr>
                  <xdr:grpSpPr bwMode="auto">
                    <a:xfrm>
                      <a:off x="1077795" y="1104147"/>
                      <a:ext cx="41526" cy="40988"/>
                      <a:chOff x="1077795" y="1104147"/>
                      <a:chExt cx="41526" cy="40988"/>
                    </a:xfrm>
                  </xdr:grpSpPr>
                  <xdr:grpSp>
                    <xdr:nvGrpSpPr>
                      <xdr:cNvPr id="86" name="Group 201">
                        <a:extLst>
                          <a:ext uri="{FF2B5EF4-FFF2-40B4-BE49-F238E27FC236}">
                            <a16:creationId xmlns="" xmlns:a16="http://schemas.microsoft.com/office/drawing/2014/main" id="{00000000-0008-0000-0100-000056000000}"/>
                          </a:ext>
                        </a:extLst>
                      </xdr:cNvPr>
                      <xdr:cNvGrpSpPr>
                        <a:grpSpLocks noChangeAspect="1"/>
                      </xdr:cNvGrpSpPr>
                    </xdr:nvGrpSpPr>
                    <xdr:grpSpPr bwMode="auto">
                      <a:xfrm>
                        <a:off x="1077795" y="1104147"/>
                        <a:ext cx="41526" cy="40988"/>
                        <a:chOff x="1077843" y="1104147"/>
                        <a:chExt cx="41526" cy="40988"/>
                      </a:xfrm>
                    </xdr:grpSpPr>
                    <xdr:sp macro="" textlink="">
                      <xdr:nvSpPr>
                        <xdr:cNvPr id="103" name="Freeform 234">
                          <a:extLst>
                            <a:ext uri="{FF2B5EF4-FFF2-40B4-BE49-F238E27FC236}">
                              <a16:creationId xmlns="" xmlns:a16="http://schemas.microsoft.com/office/drawing/2014/main" id="{00000000-0008-0000-0100-000067000000}"/>
                            </a:ext>
                          </a:extLst>
                        </xdr:cNvPr>
                        <xdr:cNvSpPr>
                          <a:spLocks noChangeAspect="1"/>
                        </xdr:cNvSpPr>
                      </xdr:nvSpPr>
                      <xdr:spPr bwMode="auto">
                        <a:xfrm>
                          <a:off x="1084478" y="1105153"/>
                          <a:ext cx="27106" cy="38303"/>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4" name="AutoShape 233">
                          <a:extLst>
                            <a:ext uri="{FF2B5EF4-FFF2-40B4-BE49-F238E27FC236}">
                              <a16:creationId xmlns="" xmlns:a16="http://schemas.microsoft.com/office/drawing/2014/main" id="{00000000-0008-0000-0100-000068000000}"/>
                            </a:ext>
                          </a:extLst>
                        </xdr:cNvPr>
                        <xdr:cNvSpPr>
                          <a:spLocks noChangeAspect="1" noChangeShapeType="1"/>
                        </xdr:cNvSpPr>
                      </xdr:nvSpPr>
                      <xdr:spPr bwMode="auto">
                        <a:xfrm>
                          <a:off x="1077848" y="1104147"/>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5" name="AutoShape 232">
                          <a:extLst>
                            <a:ext uri="{FF2B5EF4-FFF2-40B4-BE49-F238E27FC236}">
                              <a16:creationId xmlns="" xmlns:a16="http://schemas.microsoft.com/office/drawing/2014/main" id="{00000000-0008-0000-0100-000069000000}"/>
                            </a:ext>
                          </a:extLst>
                        </xdr:cNvPr>
                        <xdr:cNvSpPr>
                          <a:spLocks noChangeAspect="1" noChangeShapeType="1"/>
                        </xdr:cNvSpPr>
                      </xdr:nvSpPr>
                      <xdr:spPr bwMode="auto">
                        <a:xfrm>
                          <a:off x="1077848" y="1106192"/>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6" name="AutoShape 231">
                          <a:extLst>
                            <a:ext uri="{FF2B5EF4-FFF2-40B4-BE49-F238E27FC236}">
                              <a16:creationId xmlns="" xmlns:a16="http://schemas.microsoft.com/office/drawing/2014/main" id="{00000000-0008-0000-0100-00006A000000}"/>
                            </a:ext>
                          </a:extLst>
                        </xdr:cNvPr>
                        <xdr:cNvSpPr>
                          <a:spLocks noChangeAspect="1" noChangeShapeType="1"/>
                        </xdr:cNvSpPr>
                      </xdr:nvSpPr>
                      <xdr:spPr bwMode="auto">
                        <a:xfrm>
                          <a:off x="1077848" y="110823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7" name="AutoShape 230">
                          <a:extLst>
                            <a:ext uri="{FF2B5EF4-FFF2-40B4-BE49-F238E27FC236}">
                              <a16:creationId xmlns="" xmlns:a16="http://schemas.microsoft.com/office/drawing/2014/main" id="{00000000-0008-0000-0100-00006B000000}"/>
                            </a:ext>
                          </a:extLst>
                        </xdr:cNvPr>
                        <xdr:cNvSpPr>
                          <a:spLocks noChangeAspect="1" noChangeShapeType="1"/>
                        </xdr:cNvSpPr>
                      </xdr:nvSpPr>
                      <xdr:spPr bwMode="auto">
                        <a:xfrm>
                          <a:off x="1077848" y="111028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8" name="AutoShape 229">
                          <a:extLst>
                            <a:ext uri="{FF2B5EF4-FFF2-40B4-BE49-F238E27FC236}">
                              <a16:creationId xmlns="" xmlns:a16="http://schemas.microsoft.com/office/drawing/2014/main" id="{00000000-0008-0000-0100-00006C000000}"/>
                            </a:ext>
                          </a:extLst>
                        </xdr:cNvPr>
                        <xdr:cNvSpPr>
                          <a:spLocks noChangeAspect="1" noChangeShapeType="1"/>
                        </xdr:cNvSpPr>
                      </xdr:nvSpPr>
                      <xdr:spPr bwMode="auto">
                        <a:xfrm>
                          <a:off x="1077848" y="111232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9" name="AutoShape 228">
                          <a:extLst>
                            <a:ext uri="{FF2B5EF4-FFF2-40B4-BE49-F238E27FC236}">
                              <a16:creationId xmlns="" xmlns:a16="http://schemas.microsoft.com/office/drawing/2014/main" id="{00000000-0008-0000-0100-00006D000000}"/>
                            </a:ext>
                          </a:extLst>
                        </xdr:cNvPr>
                        <xdr:cNvSpPr>
                          <a:spLocks noChangeAspect="1" noChangeShapeType="1"/>
                        </xdr:cNvSpPr>
                      </xdr:nvSpPr>
                      <xdr:spPr bwMode="auto">
                        <a:xfrm>
                          <a:off x="1077848" y="1114373"/>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0" name="AutoShape 227">
                          <a:extLst>
                            <a:ext uri="{FF2B5EF4-FFF2-40B4-BE49-F238E27FC236}">
                              <a16:creationId xmlns="" xmlns:a16="http://schemas.microsoft.com/office/drawing/2014/main" id="{00000000-0008-0000-0100-00006E000000}"/>
                            </a:ext>
                          </a:extLst>
                        </xdr:cNvPr>
                        <xdr:cNvSpPr>
                          <a:spLocks noChangeAspect="1" noChangeShapeType="1"/>
                        </xdr:cNvSpPr>
                      </xdr:nvSpPr>
                      <xdr:spPr bwMode="auto">
                        <a:xfrm>
                          <a:off x="1077848" y="1116418"/>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1" name="AutoShape 226">
                          <a:extLst>
                            <a:ext uri="{FF2B5EF4-FFF2-40B4-BE49-F238E27FC236}">
                              <a16:creationId xmlns="" xmlns:a16="http://schemas.microsoft.com/office/drawing/2014/main" id="{00000000-0008-0000-0100-00006F000000}"/>
                            </a:ext>
                          </a:extLst>
                        </xdr:cNvPr>
                        <xdr:cNvSpPr>
                          <a:spLocks noChangeAspect="1" noChangeShapeType="1"/>
                        </xdr:cNvSpPr>
                      </xdr:nvSpPr>
                      <xdr:spPr bwMode="auto">
                        <a:xfrm>
                          <a:off x="1077848" y="1118464"/>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2" name="AutoShape 225">
                          <a:extLst>
                            <a:ext uri="{FF2B5EF4-FFF2-40B4-BE49-F238E27FC236}">
                              <a16:creationId xmlns="" xmlns:a16="http://schemas.microsoft.com/office/drawing/2014/main" id="{00000000-0008-0000-0100-000070000000}"/>
                            </a:ext>
                          </a:extLst>
                        </xdr:cNvPr>
                        <xdr:cNvSpPr>
                          <a:spLocks noChangeAspect="1" noChangeShapeType="1"/>
                        </xdr:cNvSpPr>
                      </xdr:nvSpPr>
                      <xdr:spPr bwMode="auto">
                        <a:xfrm>
                          <a:off x="1077848" y="1120462"/>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3" name="AutoShape 224">
                          <a:extLst>
                            <a:ext uri="{FF2B5EF4-FFF2-40B4-BE49-F238E27FC236}">
                              <a16:creationId xmlns="" xmlns:a16="http://schemas.microsoft.com/office/drawing/2014/main" id="{00000000-0008-0000-0100-000071000000}"/>
                            </a:ext>
                          </a:extLst>
                        </xdr:cNvPr>
                        <xdr:cNvSpPr>
                          <a:spLocks noChangeAspect="1" noChangeShapeType="1"/>
                        </xdr:cNvSpPr>
                      </xdr:nvSpPr>
                      <xdr:spPr bwMode="auto">
                        <a:xfrm>
                          <a:off x="1077843" y="112250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4" name="AutoShape 223">
                          <a:extLst>
                            <a:ext uri="{FF2B5EF4-FFF2-40B4-BE49-F238E27FC236}">
                              <a16:creationId xmlns="" xmlns:a16="http://schemas.microsoft.com/office/drawing/2014/main" id="{00000000-0008-0000-0100-000072000000}"/>
                            </a:ext>
                          </a:extLst>
                        </xdr:cNvPr>
                        <xdr:cNvSpPr>
                          <a:spLocks noChangeAspect="1" noChangeShapeType="1"/>
                        </xdr:cNvSpPr>
                      </xdr:nvSpPr>
                      <xdr:spPr bwMode="auto">
                        <a:xfrm>
                          <a:off x="1077848" y="112455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 name="AutoShape 222">
                          <a:extLst>
                            <a:ext uri="{FF2B5EF4-FFF2-40B4-BE49-F238E27FC236}">
                              <a16:creationId xmlns="" xmlns:a16="http://schemas.microsoft.com/office/drawing/2014/main" id="{00000000-0008-0000-0100-000073000000}"/>
                            </a:ext>
                          </a:extLst>
                        </xdr:cNvPr>
                        <xdr:cNvSpPr>
                          <a:spLocks noChangeAspect="1" noChangeShapeType="1"/>
                        </xdr:cNvSpPr>
                      </xdr:nvSpPr>
                      <xdr:spPr bwMode="auto">
                        <a:xfrm>
                          <a:off x="1077848" y="112659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6" name="AutoShape 221">
                          <a:extLst>
                            <a:ext uri="{FF2B5EF4-FFF2-40B4-BE49-F238E27FC236}">
                              <a16:creationId xmlns="" xmlns:a16="http://schemas.microsoft.com/office/drawing/2014/main" id="{00000000-0008-0000-0100-000074000000}"/>
                            </a:ext>
                          </a:extLst>
                        </xdr:cNvPr>
                        <xdr:cNvSpPr>
                          <a:spLocks noChangeAspect="1" noChangeShapeType="1"/>
                        </xdr:cNvSpPr>
                      </xdr:nvSpPr>
                      <xdr:spPr bwMode="auto">
                        <a:xfrm>
                          <a:off x="1077848" y="1128529"/>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7" name="AutoShape 220">
                          <a:extLst>
                            <a:ext uri="{FF2B5EF4-FFF2-40B4-BE49-F238E27FC236}">
                              <a16:creationId xmlns="" xmlns:a16="http://schemas.microsoft.com/office/drawing/2014/main" id="{00000000-0008-0000-0100-000075000000}"/>
                            </a:ext>
                          </a:extLst>
                        </xdr:cNvPr>
                        <xdr:cNvSpPr>
                          <a:spLocks noChangeAspect="1" noChangeShapeType="1"/>
                        </xdr:cNvSpPr>
                      </xdr:nvSpPr>
                      <xdr:spPr bwMode="auto">
                        <a:xfrm>
                          <a:off x="1077848" y="1130574"/>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8" name="AutoShape 219">
                          <a:extLst>
                            <a:ext uri="{FF2B5EF4-FFF2-40B4-BE49-F238E27FC236}">
                              <a16:creationId xmlns="" xmlns:a16="http://schemas.microsoft.com/office/drawing/2014/main" id="{00000000-0008-0000-0100-000076000000}"/>
                            </a:ext>
                          </a:extLst>
                        </xdr:cNvPr>
                        <xdr:cNvSpPr>
                          <a:spLocks noChangeAspect="1" noChangeShapeType="1"/>
                        </xdr:cNvSpPr>
                      </xdr:nvSpPr>
                      <xdr:spPr bwMode="auto">
                        <a:xfrm>
                          <a:off x="1077848" y="1132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9" name="AutoShape 218">
                          <a:extLst>
                            <a:ext uri="{FF2B5EF4-FFF2-40B4-BE49-F238E27FC236}">
                              <a16:creationId xmlns="" xmlns:a16="http://schemas.microsoft.com/office/drawing/2014/main" id="{00000000-0008-0000-0100-000077000000}"/>
                            </a:ext>
                          </a:extLst>
                        </xdr:cNvPr>
                        <xdr:cNvSpPr>
                          <a:spLocks noChangeAspect="1" noChangeShapeType="1"/>
                        </xdr:cNvSpPr>
                      </xdr:nvSpPr>
                      <xdr:spPr bwMode="auto">
                        <a:xfrm>
                          <a:off x="1077848" y="113466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0" name="AutoShape 217">
                          <a:extLst>
                            <a:ext uri="{FF2B5EF4-FFF2-40B4-BE49-F238E27FC236}">
                              <a16:creationId xmlns="" xmlns:a16="http://schemas.microsoft.com/office/drawing/2014/main" id="{00000000-0008-0000-0100-000078000000}"/>
                            </a:ext>
                          </a:extLst>
                        </xdr:cNvPr>
                        <xdr:cNvSpPr>
                          <a:spLocks noChangeAspect="1" noChangeShapeType="1"/>
                        </xdr:cNvSpPr>
                      </xdr:nvSpPr>
                      <xdr:spPr bwMode="auto">
                        <a:xfrm>
                          <a:off x="1077860" y="113657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 name="AutoShape 216">
                          <a:extLst>
                            <a:ext uri="{FF2B5EF4-FFF2-40B4-BE49-F238E27FC236}">
                              <a16:creationId xmlns="" xmlns:a16="http://schemas.microsoft.com/office/drawing/2014/main" id="{00000000-0008-0000-0100-000079000000}"/>
                            </a:ext>
                          </a:extLst>
                        </xdr:cNvPr>
                        <xdr:cNvSpPr>
                          <a:spLocks noChangeAspect="1" noChangeShapeType="1"/>
                        </xdr:cNvSpPr>
                      </xdr:nvSpPr>
                      <xdr:spPr bwMode="auto">
                        <a:xfrm>
                          <a:off x="1077860" y="1138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 name="AutoShape 215">
                          <a:extLst>
                            <a:ext uri="{FF2B5EF4-FFF2-40B4-BE49-F238E27FC236}">
                              <a16:creationId xmlns="" xmlns:a16="http://schemas.microsoft.com/office/drawing/2014/main" id="{00000000-0008-0000-0100-00007A000000}"/>
                            </a:ext>
                          </a:extLst>
                        </xdr:cNvPr>
                        <xdr:cNvSpPr>
                          <a:spLocks noChangeAspect="1" noChangeShapeType="1"/>
                        </xdr:cNvSpPr>
                      </xdr:nvSpPr>
                      <xdr:spPr bwMode="auto">
                        <a:xfrm>
                          <a:off x="1077860" y="1140665"/>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 name="AutoShape 214">
                          <a:extLst>
                            <a:ext uri="{FF2B5EF4-FFF2-40B4-BE49-F238E27FC236}">
                              <a16:creationId xmlns="" xmlns:a16="http://schemas.microsoft.com/office/drawing/2014/main" id="{00000000-0008-0000-0100-00007B000000}"/>
                            </a:ext>
                          </a:extLst>
                        </xdr:cNvPr>
                        <xdr:cNvSpPr>
                          <a:spLocks noChangeAspect="1" noChangeShapeType="1"/>
                        </xdr:cNvSpPr>
                      </xdr:nvSpPr>
                      <xdr:spPr bwMode="auto">
                        <a:xfrm>
                          <a:off x="1077860" y="1142710"/>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 name="AutoShape 213">
                          <a:extLst>
                            <a:ext uri="{FF2B5EF4-FFF2-40B4-BE49-F238E27FC236}">
                              <a16:creationId xmlns="" xmlns:a16="http://schemas.microsoft.com/office/drawing/2014/main" id="{00000000-0008-0000-0100-00007C000000}"/>
                            </a:ext>
                          </a:extLst>
                        </xdr:cNvPr>
                        <xdr:cNvSpPr>
                          <a:spLocks noChangeAspect="1" noChangeShapeType="1"/>
                        </xdr:cNvSpPr>
                      </xdr:nvSpPr>
                      <xdr:spPr bwMode="auto">
                        <a:xfrm>
                          <a:off x="1077860" y="1144756"/>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 name="AutoShape 212">
                          <a:extLst>
                            <a:ext uri="{FF2B5EF4-FFF2-40B4-BE49-F238E27FC236}">
                              <a16:creationId xmlns="" xmlns:a16="http://schemas.microsoft.com/office/drawing/2014/main" id="{00000000-0008-0000-0100-00007D000000}"/>
                            </a:ext>
                          </a:extLst>
                        </xdr:cNvPr>
                        <xdr:cNvSpPr>
                          <a:spLocks noChangeAspect="1" noChangeShapeType="1"/>
                        </xdr:cNvSpPr>
                      </xdr:nvSpPr>
                      <xdr:spPr bwMode="auto">
                        <a:xfrm flipH="1">
                          <a:off x="1095767" y="1113950"/>
                          <a:ext cx="106" cy="3095"/>
                        </a:xfrm>
                        <a:prstGeom prst="straightConnector1">
                          <a:avLst/>
                        </a:prstGeom>
                        <a:noFill/>
                        <a:ln w="88900">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6" name="AutoShape 211">
                          <a:extLst>
                            <a:ext uri="{FF2B5EF4-FFF2-40B4-BE49-F238E27FC236}">
                              <a16:creationId xmlns="" xmlns:a16="http://schemas.microsoft.com/office/drawing/2014/main" id="{00000000-0008-0000-0100-00007E000000}"/>
                            </a:ext>
                          </a:extLst>
                        </xdr:cNvPr>
                        <xdr:cNvSpPr>
                          <a:spLocks noChangeAspect="1" noChangeShapeType="1"/>
                        </xdr:cNvSpPr>
                      </xdr:nvSpPr>
                      <xdr:spPr bwMode="auto">
                        <a:xfrm flipV="1">
                          <a:off x="1098071" y="1120986"/>
                          <a:ext cx="668" cy="3130"/>
                        </a:xfrm>
                        <a:prstGeom prst="straightConnector1">
                          <a:avLst/>
                        </a:prstGeom>
                        <a:noFill/>
                        <a:ln w="88900">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7" name="AutoShape 210">
                          <a:extLst>
                            <a:ext uri="{FF2B5EF4-FFF2-40B4-BE49-F238E27FC236}">
                              <a16:creationId xmlns="" xmlns:a16="http://schemas.microsoft.com/office/drawing/2014/main" id="{00000000-0008-0000-0100-00007F000000}"/>
                            </a:ext>
                          </a:extLst>
                        </xdr:cNvPr>
                        <xdr:cNvSpPr>
                          <a:spLocks noChangeAspect="1" noChangeShapeType="1"/>
                        </xdr:cNvSpPr>
                      </xdr:nvSpPr>
                      <xdr:spPr bwMode="auto">
                        <a:xfrm flipV="1">
                          <a:off x="1105193" y="1128635"/>
                          <a:ext cx="281" cy="5170"/>
                        </a:xfrm>
                        <a:prstGeom prst="straightConnector1">
                          <a:avLst/>
                        </a:prstGeom>
                        <a:noFill/>
                        <a:ln w="88900">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8" name="AutoShape 209">
                          <a:extLst>
                            <a:ext uri="{FF2B5EF4-FFF2-40B4-BE49-F238E27FC236}">
                              <a16:creationId xmlns="" xmlns:a16="http://schemas.microsoft.com/office/drawing/2014/main" id="{00000000-0008-0000-0100-000080000000}"/>
                            </a:ext>
                          </a:extLst>
                        </xdr:cNvPr>
                        <xdr:cNvSpPr>
                          <a:spLocks noChangeAspect="1" noChangeShapeType="1"/>
                        </xdr:cNvSpPr>
                      </xdr:nvSpPr>
                      <xdr:spPr bwMode="auto">
                        <a:xfrm flipV="1">
                          <a:off x="1083193" y="1128529"/>
                          <a:ext cx="2799" cy="2"/>
                        </a:xfrm>
                        <a:prstGeom prst="straightConnector1">
                          <a:avLst/>
                        </a:prstGeom>
                        <a:noFill/>
                        <a:ln w="31750">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9" name="AutoShape 208">
                          <a:extLst>
                            <a:ext uri="{FF2B5EF4-FFF2-40B4-BE49-F238E27FC236}">
                              <a16:creationId xmlns="" xmlns:a16="http://schemas.microsoft.com/office/drawing/2014/main" id="{00000000-0008-0000-0100-000081000000}"/>
                            </a:ext>
                          </a:extLst>
                        </xdr:cNvPr>
                        <xdr:cNvSpPr>
                          <a:spLocks noChangeAspect="1" noChangeShapeType="1"/>
                        </xdr:cNvSpPr>
                      </xdr:nvSpPr>
                      <xdr:spPr bwMode="auto">
                        <a:xfrm flipH="1">
                          <a:off x="1095725" y="11170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0" name="AutoShape 207">
                          <a:extLst>
                            <a:ext uri="{FF2B5EF4-FFF2-40B4-BE49-F238E27FC236}">
                              <a16:creationId xmlns="" xmlns:a16="http://schemas.microsoft.com/office/drawing/2014/main" id="{00000000-0008-0000-0100-000082000000}"/>
                            </a:ext>
                          </a:extLst>
                        </xdr:cNvPr>
                        <xdr:cNvSpPr>
                          <a:spLocks noChangeAspect="1" noChangeShapeType="1"/>
                        </xdr:cNvSpPr>
                      </xdr:nvSpPr>
                      <xdr:spPr bwMode="auto">
                        <a:xfrm flipH="1">
                          <a:off x="1095767" y="111544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1" name="AutoShape 206">
                          <a:extLst>
                            <a:ext uri="{FF2B5EF4-FFF2-40B4-BE49-F238E27FC236}">
                              <a16:creationId xmlns="" xmlns:a16="http://schemas.microsoft.com/office/drawing/2014/main" id="{00000000-0008-0000-0100-000083000000}"/>
                            </a:ext>
                          </a:extLst>
                        </xdr:cNvPr>
                        <xdr:cNvSpPr>
                          <a:spLocks noChangeAspect="1" noChangeShapeType="1"/>
                        </xdr:cNvSpPr>
                      </xdr:nvSpPr>
                      <xdr:spPr bwMode="auto">
                        <a:xfrm flipH="1">
                          <a:off x="1095767" y="1113937"/>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2" name="AutoShape 205">
                          <a:extLst>
                            <a:ext uri="{FF2B5EF4-FFF2-40B4-BE49-F238E27FC236}">
                              <a16:creationId xmlns="" xmlns:a16="http://schemas.microsoft.com/office/drawing/2014/main" id="{00000000-0008-0000-0100-000084000000}"/>
                            </a:ext>
                          </a:extLst>
                        </xdr:cNvPr>
                        <xdr:cNvSpPr>
                          <a:spLocks noChangeAspect="1" noChangeShapeType="1"/>
                        </xdr:cNvSpPr>
                      </xdr:nvSpPr>
                      <xdr:spPr bwMode="auto">
                        <a:xfrm flipH="1">
                          <a:off x="1096319" y="1112707"/>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3" name="AutoShape 204">
                          <a:extLst>
                            <a:ext uri="{FF2B5EF4-FFF2-40B4-BE49-F238E27FC236}">
                              <a16:creationId xmlns="" xmlns:a16="http://schemas.microsoft.com/office/drawing/2014/main" id="{00000000-0008-0000-0100-000085000000}"/>
                            </a:ext>
                          </a:extLst>
                        </xdr:cNvPr>
                        <xdr:cNvSpPr>
                          <a:spLocks noChangeAspect="1" noChangeShapeType="1"/>
                        </xdr:cNvSpPr>
                      </xdr:nvSpPr>
                      <xdr:spPr bwMode="auto">
                        <a:xfrm flipH="1">
                          <a:off x="1098908" y="1111142"/>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4" name="AutoShape 203">
                          <a:extLst>
                            <a:ext uri="{FF2B5EF4-FFF2-40B4-BE49-F238E27FC236}">
                              <a16:creationId xmlns="" xmlns:a16="http://schemas.microsoft.com/office/drawing/2014/main" id="{00000000-0008-0000-0100-000086000000}"/>
                            </a:ext>
                          </a:extLst>
                        </xdr:cNvPr>
                        <xdr:cNvSpPr>
                          <a:spLocks noChangeAspect="1" noChangeShapeType="1"/>
                        </xdr:cNvSpPr>
                      </xdr:nvSpPr>
                      <xdr:spPr bwMode="auto">
                        <a:xfrm flipH="1">
                          <a:off x="1096110" y="110529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5" name="AutoShape 202">
                          <a:extLst>
                            <a:ext uri="{FF2B5EF4-FFF2-40B4-BE49-F238E27FC236}">
                              <a16:creationId xmlns="" xmlns:a16="http://schemas.microsoft.com/office/drawing/2014/main" id="{00000000-0008-0000-0100-000087000000}"/>
                            </a:ext>
                          </a:extLst>
                        </xdr:cNvPr>
                        <xdr:cNvSpPr>
                          <a:spLocks noChangeAspect="1" noChangeShapeType="1"/>
                        </xdr:cNvSpPr>
                      </xdr:nvSpPr>
                      <xdr:spPr bwMode="auto">
                        <a:xfrm flipH="1">
                          <a:off x="1084879" y="111501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87" name="AutoShape 200">
                        <a:extLst>
                          <a:ext uri="{FF2B5EF4-FFF2-40B4-BE49-F238E27FC236}">
                            <a16:creationId xmlns="" xmlns:a16="http://schemas.microsoft.com/office/drawing/2014/main" id="{00000000-0008-0000-0100-000057000000}"/>
                          </a:ext>
                        </a:extLst>
                      </xdr:cNvPr>
                      <xdr:cNvSpPr>
                        <a:spLocks noChangeAspect="1" noChangeShapeType="1"/>
                      </xdr:cNvSpPr>
                    </xdr:nvSpPr>
                    <xdr:spPr bwMode="auto">
                      <a:xfrm flipH="1">
                        <a:off x="1096670" y="114018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8" name="AutoShape 199">
                        <a:extLst>
                          <a:ext uri="{FF2B5EF4-FFF2-40B4-BE49-F238E27FC236}">
                            <a16:creationId xmlns="" xmlns:a16="http://schemas.microsoft.com/office/drawing/2014/main" id="{00000000-0008-0000-0100-000058000000}"/>
                          </a:ext>
                        </a:extLst>
                      </xdr:cNvPr>
                      <xdr:cNvSpPr>
                        <a:spLocks noChangeAspect="1" noChangeShapeType="1"/>
                      </xdr:cNvSpPr>
                    </xdr:nvSpPr>
                    <xdr:spPr bwMode="auto">
                      <a:xfrm flipH="1">
                        <a:off x="1096110" y="113391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9" name="AutoShape 198">
                        <a:extLst>
                          <a:ext uri="{FF2B5EF4-FFF2-40B4-BE49-F238E27FC236}">
                            <a16:creationId xmlns="" xmlns:a16="http://schemas.microsoft.com/office/drawing/2014/main" id="{00000000-0008-0000-0100-000059000000}"/>
                          </a:ext>
                        </a:extLst>
                      </xdr:cNvPr>
                      <xdr:cNvSpPr>
                        <a:spLocks noChangeAspect="1" noChangeShapeType="1"/>
                      </xdr:cNvSpPr>
                    </xdr:nvSpPr>
                    <xdr:spPr bwMode="auto">
                      <a:xfrm flipH="1">
                        <a:off x="1093691" y="1140208"/>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0" name="AutoShape 197">
                        <a:extLst>
                          <a:ext uri="{FF2B5EF4-FFF2-40B4-BE49-F238E27FC236}">
                            <a16:creationId xmlns="" xmlns:a16="http://schemas.microsoft.com/office/drawing/2014/main" id="{00000000-0008-0000-0100-00005A000000}"/>
                          </a:ext>
                        </a:extLst>
                      </xdr:cNvPr>
                      <xdr:cNvSpPr>
                        <a:spLocks noChangeAspect="1" noChangeShapeType="1"/>
                      </xdr:cNvSpPr>
                    </xdr:nvSpPr>
                    <xdr:spPr bwMode="auto">
                      <a:xfrm flipH="1">
                        <a:off x="1097196" y="112670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1" name="AutoShape 196">
                        <a:extLst>
                          <a:ext uri="{FF2B5EF4-FFF2-40B4-BE49-F238E27FC236}">
                            <a16:creationId xmlns="" xmlns:a16="http://schemas.microsoft.com/office/drawing/2014/main" id="{00000000-0008-0000-0100-00005B000000}"/>
                          </a:ext>
                        </a:extLst>
                      </xdr:cNvPr>
                      <xdr:cNvSpPr>
                        <a:spLocks noChangeAspect="1" noChangeShapeType="1"/>
                      </xdr:cNvSpPr>
                    </xdr:nvSpPr>
                    <xdr:spPr bwMode="auto">
                      <a:xfrm flipH="1">
                        <a:off x="1097980" y="112409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2" name="AutoShape 195">
                        <a:extLst>
                          <a:ext uri="{FF2B5EF4-FFF2-40B4-BE49-F238E27FC236}">
                            <a16:creationId xmlns="" xmlns:a16="http://schemas.microsoft.com/office/drawing/2014/main" id="{00000000-0008-0000-0100-00005C000000}"/>
                          </a:ext>
                        </a:extLst>
                      </xdr:cNvPr>
                      <xdr:cNvSpPr>
                        <a:spLocks noChangeAspect="1" noChangeShapeType="1"/>
                      </xdr:cNvSpPr>
                    </xdr:nvSpPr>
                    <xdr:spPr bwMode="auto">
                      <a:xfrm flipH="1">
                        <a:off x="1098314" y="1122578"/>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3" name="AutoShape 194">
                        <a:extLst>
                          <a:ext uri="{FF2B5EF4-FFF2-40B4-BE49-F238E27FC236}">
                            <a16:creationId xmlns="" xmlns:a16="http://schemas.microsoft.com/office/drawing/2014/main" id="{00000000-0008-0000-0100-00005D000000}"/>
                          </a:ext>
                        </a:extLst>
                      </xdr:cNvPr>
                      <xdr:cNvSpPr>
                        <a:spLocks noChangeAspect="1" noChangeShapeType="1"/>
                      </xdr:cNvSpPr>
                    </xdr:nvSpPr>
                    <xdr:spPr bwMode="auto">
                      <a:xfrm flipH="1">
                        <a:off x="1098607" y="1120841"/>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4" name="AutoShape 193">
                        <a:extLst>
                          <a:ext uri="{FF2B5EF4-FFF2-40B4-BE49-F238E27FC236}">
                            <a16:creationId xmlns="" xmlns:a16="http://schemas.microsoft.com/office/drawing/2014/main" id="{00000000-0008-0000-0100-00005E000000}"/>
                          </a:ext>
                        </a:extLst>
                      </xdr:cNvPr>
                      <xdr:cNvSpPr>
                        <a:spLocks noChangeAspect="1" noChangeShapeType="1"/>
                      </xdr:cNvSpPr>
                    </xdr:nvSpPr>
                    <xdr:spPr bwMode="auto">
                      <a:xfrm flipH="1">
                        <a:off x="1103597" y="1109065"/>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5" name="AutoShape 192">
                        <a:extLst>
                          <a:ext uri="{FF2B5EF4-FFF2-40B4-BE49-F238E27FC236}">
                            <a16:creationId xmlns="" xmlns:a16="http://schemas.microsoft.com/office/drawing/2014/main" id="{00000000-0008-0000-0100-00005F000000}"/>
                          </a:ext>
                        </a:extLst>
                      </xdr:cNvPr>
                      <xdr:cNvSpPr>
                        <a:spLocks noChangeAspect="1" noChangeShapeType="1"/>
                      </xdr:cNvSpPr>
                    </xdr:nvSpPr>
                    <xdr:spPr bwMode="auto">
                      <a:xfrm flipH="1">
                        <a:off x="1111078" y="111125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6" name="AutoShape 191">
                        <a:extLst>
                          <a:ext uri="{FF2B5EF4-FFF2-40B4-BE49-F238E27FC236}">
                            <a16:creationId xmlns="" xmlns:a16="http://schemas.microsoft.com/office/drawing/2014/main" id="{00000000-0008-0000-0100-000060000000}"/>
                          </a:ext>
                        </a:extLst>
                      </xdr:cNvPr>
                      <xdr:cNvSpPr>
                        <a:spLocks noChangeAspect="1" noChangeShapeType="1"/>
                      </xdr:cNvSpPr>
                    </xdr:nvSpPr>
                    <xdr:spPr bwMode="auto">
                      <a:xfrm flipH="1">
                        <a:off x="1106220" y="111612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7" name="AutoShape 190">
                        <a:extLst>
                          <a:ext uri="{FF2B5EF4-FFF2-40B4-BE49-F238E27FC236}">
                            <a16:creationId xmlns="" xmlns:a16="http://schemas.microsoft.com/office/drawing/2014/main" id="{00000000-0008-0000-0100-000061000000}"/>
                          </a:ext>
                        </a:extLst>
                      </xdr:cNvPr>
                      <xdr:cNvSpPr>
                        <a:spLocks noChangeAspect="1" noChangeShapeType="1"/>
                      </xdr:cNvSpPr>
                    </xdr:nvSpPr>
                    <xdr:spPr bwMode="auto">
                      <a:xfrm flipH="1">
                        <a:off x="1105393" y="1125976"/>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8" name="AutoShape 189">
                        <a:extLst>
                          <a:ext uri="{FF2B5EF4-FFF2-40B4-BE49-F238E27FC236}">
                            <a16:creationId xmlns="" xmlns:a16="http://schemas.microsoft.com/office/drawing/2014/main" id="{00000000-0008-0000-0100-000062000000}"/>
                          </a:ext>
                        </a:extLst>
                      </xdr:cNvPr>
                      <xdr:cNvSpPr>
                        <a:spLocks noChangeAspect="1" noChangeShapeType="1"/>
                      </xdr:cNvSpPr>
                    </xdr:nvSpPr>
                    <xdr:spPr bwMode="auto">
                      <a:xfrm flipH="1">
                        <a:off x="1105374" y="1128529"/>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9" name="AutoShape 188">
                        <a:extLst>
                          <a:ext uri="{FF2B5EF4-FFF2-40B4-BE49-F238E27FC236}">
                            <a16:creationId xmlns="" xmlns:a16="http://schemas.microsoft.com/office/drawing/2014/main" id="{00000000-0008-0000-0100-000063000000}"/>
                          </a:ext>
                        </a:extLst>
                      </xdr:cNvPr>
                      <xdr:cNvSpPr>
                        <a:spLocks noChangeAspect="1" noChangeShapeType="1"/>
                      </xdr:cNvSpPr>
                    </xdr:nvSpPr>
                    <xdr:spPr bwMode="auto">
                      <a:xfrm flipH="1">
                        <a:off x="1105231" y="1131082"/>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0" name="AutoShape 187">
                        <a:extLst>
                          <a:ext uri="{FF2B5EF4-FFF2-40B4-BE49-F238E27FC236}">
                            <a16:creationId xmlns="" xmlns:a16="http://schemas.microsoft.com/office/drawing/2014/main" id="{00000000-0008-0000-0100-000064000000}"/>
                          </a:ext>
                        </a:extLst>
                      </xdr:cNvPr>
                      <xdr:cNvSpPr>
                        <a:spLocks noChangeAspect="1" noChangeShapeType="1"/>
                      </xdr:cNvSpPr>
                    </xdr:nvSpPr>
                    <xdr:spPr bwMode="auto">
                      <a:xfrm flipH="1">
                        <a:off x="1105060" y="113377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1" name="AutoShape 186">
                        <a:extLst>
                          <a:ext uri="{FF2B5EF4-FFF2-40B4-BE49-F238E27FC236}">
                            <a16:creationId xmlns="" xmlns:a16="http://schemas.microsoft.com/office/drawing/2014/main" id="{00000000-0008-0000-0100-000065000000}"/>
                          </a:ext>
                        </a:extLst>
                      </xdr:cNvPr>
                      <xdr:cNvSpPr>
                        <a:spLocks noChangeAspect="1" noChangeShapeType="1"/>
                      </xdr:cNvSpPr>
                    </xdr:nvSpPr>
                    <xdr:spPr bwMode="auto">
                      <a:xfrm flipH="1">
                        <a:off x="1102969" y="11395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2" name="AutoShape 185">
                        <a:extLst>
                          <a:ext uri="{FF2B5EF4-FFF2-40B4-BE49-F238E27FC236}">
                            <a16:creationId xmlns="" xmlns:a16="http://schemas.microsoft.com/office/drawing/2014/main" id="{00000000-0008-0000-0100-000066000000}"/>
                          </a:ext>
                        </a:extLst>
                      </xdr:cNvPr>
                      <xdr:cNvSpPr>
                        <a:spLocks noChangeAspect="1" noChangeShapeType="1"/>
                      </xdr:cNvSpPr>
                    </xdr:nvSpPr>
                    <xdr:spPr bwMode="auto">
                      <a:xfrm flipH="1">
                        <a:off x="1096739" y="1143242"/>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85" name="AutoShape 183">
                      <a:extLst>
                        <a:ext uri="{FF2B5EF4-FFF2-40B4-BE49-F238E27FC236}">
                          <a16:creationId xmlns="" xmlns:a16="http://schemas.microsoft.com/office/drawing/2014/main" id="{00000000-0008-0000-0100-000055000000}"/>
                        </a:ext>
                      </a:extLst>
                    </xdr:cNvPr>
                    <xdr:cNvSpPr>
                      <a:spLocks noChangeAspect="1" noChangeShapeType="1"/>
                    </xdr:cNvSpPr>
                  </xdr:nvSpPr>
                  <xdr:spPr bwMode="auto">
                    <a:xfrm flipV="1">
                      <a:off x="1085943" y="1120841"/>
                      <a:ext cx="0" cy="7193"/>
                    </a:xfrm>
                    <a:prstGeom prst="straightConnector1">
                      <a:avLst/>
                    </a:prstGeom>
                    <a:noFill/>
                    <a:ln w="25400">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63" name="Text Box 181">
                    <a:extLst>
                      <a:ext uri="{FF2B5EF4-FFF2-40B4-BE49-F238E27FC236}">
                        <a16:creationId xmlns="" xmlns:a16="http://schemas.microsoft.com/office/drawing/2014/main" id="{00000000-0008-0000-0100-00003F000000}"/>
                      </a:ext>
                    </a:extLst>
                  </xdr:cNvPr>
                  <xdr:cNvSpPr txBox="1">
                    <a:spLocks noChangeAspect="1" noChangeArrowheads="1"/>
                  </xdr:cNvSpPr>
                </xdr:nvSpPr>
                <xdr:spPr bwMode="auto">
                  <a:xfrm>
                    <a:off x="1073558" y="1172296"/>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xdr:txBody>
              </xdr:sp>
              <xdr:sp macro="" textlink="">
                <xdr:nvSpPr>
                  <xdr:cNvPr id="64" name="Text Box 180">
                    <a:extLst>
                      <a:ext uri="{FF2B5EF4-FFF2-40B4-BE49-F238E27FC236}">
                        <a16:creationId xmlns="" xmlns:a16="http://schemas.microsoft.com/office/drawing/2014/main" id="{00000000-0008-0000-0100-000040000000}"/>
                      </a:ext>
                    </a:extLst>
                  </xdr:cNvPr>
                  <xdr:cNvSpPr txBox="1">
                    <a:spLocks noChangeAspect="1" noChangeArrowheads="1"/>
                  </xdr:cNvSpPr>
                </xdr:nvSpPr>
                <xdr:spPr bwMode="auto">
                  <a:xfrm>
                    <a:off x="1073870" y="1174333"/>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xdr:txBody>
              </xdr:sp>
              <xdr:sp macro="" textlink="">
                <xdr:nvSpPr>
                  <xdr:cNvPr id="65" name="Text Box 179">
                    <a:extLst>
                      <a:ext uri="{FF2B5EF4-FFF2-40B4-BE49-F238E27FC236}">
                        <a16:creationId xmlns="" xmlns:a16="http://schemas.microsoft.com/office/drawing/2014/main" id="{00000000-0008-0000-0100-000041000000}"/>
                      </a:ext>
                    </a:extLst>
                  </xdr:cNvPr>
                  <xdr:cNvSpPr txBox="1">
                    <a:spLocks noChangeAspect="1" noChangeArrowheads="1"/>
                  </xdr:cNvSpPr>
                </xdr:nvSpPr>
                <xdr:spPr bwMode="auto">
                  <a:xfrm>
                    <a:off x="1073870" y="1176370"/>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xdr:txBody>
              </xdr:sp>
              <xdr:sp macro="" textlink="">
                <xdr:nvSpPr>
                  <xdr:cNvPr id="66" name="Text Box 178">
                    <a:extLst>
                      <a:ext uri="{FF2B5EF4-FFF2-40B4-BE49-F238E27FC236}">
                        <a16:creationId xmlns="" xmlns:a16="http://schemas.microsoft.com/office/drawing/2014/main" id="{00000000-0008-0000-0100-000042000000}"/>
                      </a:ext>
                    </a:extLst>
                  </xdr:cNvPr>
                  <xdr:cNvSpPr txBox="1">
                    <a:spLocks noChangeAspect="1" noChangeArrowheads="1"/>
                  </xdr:cNvSpPr>
                </xdr:nvSpPr>
                <xdr:spPr bwMode="auto">
                  <a:xfrm>
                    <a:off x="1073870" y="117840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xdr:txBody>
              </xdr:sp>
              <xdr:sp macro="" textlink="">
                <xdr:nvSpPr>
                  <xdr:cNvPr id="67" name="Text Box 177">
                    <a:extLst>
                      <a:ext uri="{FF2B5EF4-FFF2-40B4-BE49-F238E27FC236}">
                        <a16:creationId xmlns="" xmlns:a16="http://schemas.microsoft.com/office/drawing/2014/main" id="{00000000-0008-0000-0100-000043000000}"/>
                      </a:ext>
                    </a:extLst>
                  </xdr:cNvPr>
                  <xdr:cNvSpPr txBox="1">
                    <a:spLocks noChangeAspect="1" noChangeArrowheads="1"/>
                  </xdr:cNvSpPr>
                </xdr:nvSpPr>
                <xdr:spPr bwMode="auto">
                  <a:xfrm>
                    <a:off x="1073870" y="118044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xdr:txBody>
              </xdr:sp>
              <xdr:sp macro="" textlink="">
                <xdr:nvSpPr>
                  <xdr:cNvPr id="68" name="Text Box 176">
                    <a:extLst>
                      <a:ext uri="{FF2B5EF4-FFF2-40B4-BE49-F238E27FC236}">
                        <a16:creationId xmlns="" xmlns:a16="http://schemas.microsoft.com/office/drawing/2014/main" id="{00000000-0008-0000-0100-000044000000}"/>
                      </a:ext>
                    </a:extLst>
                  </xdr:cNvPr>
                  <xdr:cNvSpPr txBox="1">
                    <a:spLocks noChangeAspect="1" noChangeArrowheads="1"/>
                  </xdr:cNvSpPr>
                </xdr:nvSpPr>
                <xdr:spPr bwMode="auto">
                  <a:xfrm>
                    <a:off x="1073870" y="1182480"/>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xdr:txBody>
              </xdr:sp>
              <xdr:sp macro="" textlink="">
                <xdr:nvSpPr>
                  <xdr:cNvPr id="69" name="Text Box 175">
                    <a:extLst>
                      <a:ext uri="{FF2B5EF4-FFF2-40B4-BE49-F238E27FC236}">
                        <a16:creationId xmlns="" xmlns:a16="http://schemas.microsoft.com/office/drawing/2014/main" id="{00000000-0008-0000-0100-000045000000}"/>
                      </a:ext>
                    </a:extLst>
                  </xdr:cNvPr>
                  <xdr:cNvSpPr txBox="1">
                    <a:spLocks noChangeAspect="1" noChangeArrowheads="1"/>
                  </xdr:cNvSpPr>
                </xdr:nvSpPr>
                <xdr:spPr bwMode="auto">
                  <a:xfrm>
                    <a:off x="1073870" y="118451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xdr:txBody>
              </xdr:sp>
              <xdr:sp macro="" textlink="">
                <xdr:nvSpPr>
                  <xdr:cNvPr id="70" name="Text Box 174">
                    <a:extLst>
                      <a:ext uri="{FF2B5EF4-FFF2-40B4-BE49-F238E27FC236}">
                        <a16:creationId xmlns="" xmlns:a16="http://schemas.microsoft.com/office/drawing/2014/main" id="{00000000-0008-0000-0100-000046000000}"/>
                      </a:ext>
                    </a:extLst>
                  </xdr:cNvPr>
                  <xdr:cNvSpPr txBox="1">
                    <a:spLocks noChangeAspect="1" noChangeArrowheads="1"/>
                  </xdr:cNvSpPr>
                </xdr:nvSpPr>
                <xdr:spPr bwMode="auto">
                  <a:xfrm>
                    <a:off x="1073870" y="118655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xdr:txBody>
              </xdr:sp>
              <xdr:sp macro="" textlink="">
                <xdr:nvSpPr>
                  <xdr:cNvPr id="71" name="Text Box 173">
                    <a:extLst>
                      <a:ext uri="{FF2B5EF4-FFF2-40B4-BE49-F238E27FC236}">
                        <a16:creationId xmlns="" xmlns:a16="http://schemas.microsoft.com/office/drawing/2014/main" id="{00000000-0008-0000-0100-000047000000}"/>
                      </a:ext>
                    </a:extLst>
                  </xdr:cNvPr>
                  <xdr:cNvSpPr txBox="1">
                    <a:spLocks noChangeAspect="1" noChangeArrowheads="1"/>
                  </xdr:cNvSpPr>
                </xdr:nvSpPr>
                <xdr:spPr bwMode="auto">
                  <a:xfrm>
                    <a:off x="1073870" y="1188591"/>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xdr:txBody>
              </xdr:sp>
              <xdr:sp macro="" textlink="">
                <xdr:nvSpPr>
                  <xdr:cNvPr id="72" name="Text Box 172">
                    <a:extLst>
                      <a:ext uri="{FF2B5EF4-FFF2-40B4-BE49-F238E27FC236}">
                        <a16:creationId xmlns="" xmlns:a16="http://schemas.microsoft.com/office/drawing/2014/main" id="{00000000-0008-0000-0100-000048000000}"/>
                      </a:ext>
                    </a:extLst>
                  </xdr:cNvPr>
                  <xdr:cNvSpPr txBox="1">
                    <a:spLocks noChangeAspect="1" noChangeArrowheads="1"/>
                  </xdr:cNvSpPr>
                </xdr:nvSpPr>
                <xdr:spPr bwMode="auto">
                  <a:xfrm>
                    <a:off x="1073870" y="1190627"/>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xdr:txBody>
              </xdr:sp>
              <xdr:sp macro="" textlink="">
                <xdr:nvSpPr>
                  <xdr:cNvPr id="73" name="Text Box 171">
                    <a:extLst>
                      <a:ext uri="{FF2B5EF4-FFF2-40B4-BE49-F238E27FC236}">
                        <a16:creationId xmlns="" xmlns:a16="http://schemas.microsoft.com/office/drawing/2014/main" id="{00000000-0008-0000-0100-000049000000}"/>
                      </a:ext>
                    </a:extLst>
                  </xdr:cNvPr>
                  <xdr:cNvSpPr txBox="1">
                    <a:spLocks noChangeAspect="1" noChangeArrowheads="1"/>
                  </xdr:cNvSpPr>
                </xdr:nvSpPr>
                <xdr:spPr bwMode="auto">
                  <a:xfrm>
                    <a:off x="1073870" y="1192664"/>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xdr:txBody>
              </xdr:sp>
              <xdr:sp macro="" textlink="">
                <xdr:nvSpPr>
                  <xdr:cNvPr id="74" name="Text Box 170">
                    <a:extLst>
                      <a:ext uri="{FF2B5EF4-FFF2-40B4-BE49-F238E27FC236}">
                        <a16:creationId xmlns="" xmlns:a16="http://schemas.microsoft.com/office/drawing/2014/main" id="{00000000-0008-0000-0100-00004A000000}"/>
                      </a:ext>
                    </a:extLst>
                  </xdr:cNvPr>
                  <xdr:cNvSpPr txBox="1">
                    <a:spLocks noChangeAspect="1" noChangeArrowheads="1"/>
                  </xdr:cNvSpPr>
                </xdr:nvSpPr>
                <xdr:spPr bwMode="auto">
                  <a:xfrm>
                    <a:off x="1073558" y="1152056"/>
                    <a:ext cx="2545" cy="1668"/>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xdr:txBody>
              </xdr:sp>
              <xdr:sp macro="" textlink="">
                <xdr:nvSpPr>
                  <xdr:cNvPr id="75" name="Text Box 169">
                    <a:extLst>
                      <a:ext uri="{FF2B5EF4-FFF2-40B4-BE49-F238E27FC236}">
                        <a16:creationId xmlns="" xmlns:a16="http://schemas.microsoft.com/office/drawing/2014/main" id="{00000000-0008-0000-0100-00004B000000}"/>
                      </a:ext>
                    </a:extLst>
                  </xdr:cNvPr>
                  <xdr:cNvSpPr txBox="1">
                    <a:spLocks noChangeAspect="1" noChangeArrowheads="1"/>
                  </xdr:cNvSpPr>
                </xdr:nvSpPr>
                <xdr:spPr bwMode="auto">
                  <a:xfrm>
                    <a:off x="1073558" y="1153965"/>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xdr:txBody>
              </xdr:sp>
              <xdr:sp macro="" textlink="">
                <xdr:nvSpPr>
                  <xdr:cNvPr id="76" name="Text Box 168">
                    <a:extLst>
                      <a:ext uri="{FF2B5EF4-FFF2-40B4-BE49-F238E27FC236}">
                        <a16:creationId xmlns="" xmlns:a16="http://schemas.microsoft.com/office/drawing/2014/main" id="{00000000-0008-0000-0100-00004C000000}"/>
                      </a:ext>
                    </a:extLst>
                  </xdr:cNvPr>
                  <xdr:cNvSpPr txBox="1">
                    <a:spLocks noChangeAspect="1" noChangeArrowheads="1"/>
                  </xdr:cNvSpPr>
                </xdr:nvSpPr>
                <xdr:spPr bwMode="auto">
                  <a:xfrm>
                    <a:off x="1073558" y="1156002"/>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xdr:txBody>
              </xdr:sp>
              <xdr:sp macro="" textlink="">
                <xdr:nvSpPr>
                  <xdr:cNvPr id="77" name="Text Box 167">
                    <a:extLst>
                      <a:ext uri="{FF2B5EF4-FFF2-40B4-BE49-F238E27FC236}">
                        <a16:creationId xmlns="" xmlns:a16="http://schemas.microsoft.com/office/drawing/2014/main" id="{00000000-0008-0000-0100-00004D000000}"/>
                      </a:ext>
                    </a:extLst>
                  </xdr:cNvPr>
                  <xdr:cNvSpPr txBox="1">
                    <a:spLocks noChangeAspect="1" noChangeArrowheads="1"/>
                  </xdr:cNvSpPr>
                </xdr:nvSpPr>
                <xdr:spPr bwMode="auto">
                  <a:xfrm>
                    <a:off x="1073558" y="1158039"/>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xdr:txBody>
              </xdr:sp>
              <xdr:sp macro="" textlink="">
                <xdr:nvSpPr>
                  <xdr:cNvPr id="78" name="Text Box 166">
                    <a:extLst>
                      <a:ext uri="{FF2B5EF4-FFF2-40B4-BE49-F238E27FC236}">
                        <a16:creationId xmlns="" xmlns:a16="http://schemas.microsoft.com/office/drawing/2014/main" id="{00000000-0008-0000-0100-00004E000000}"/>
                      </a:ext>
                    </a:extLst>
                  </xdr:cNvPr>
                  <xdr:cNvSpPr txBox="1">
                    <a:spLocks noChangeAspect="1" noChangeArrowheads="1"/>
                  </xdr:cNvSpPr>
                </xdr:nvSpPr>
                <xdr:spPr bwMode="auto">
                  <a:xfrm>
                    <a:off x="1073558" y="116007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xdr:txBody>
              </xdr:sp>
              <xdr:sp macro="" textlink="">
                <xdr:nvSpPr>
                  <xdr:cNvPr id="79" name="Text Box 165">
                    <a:extLst>
                      <a:ext uri="{FF2B5EF4-FFF2-40B4-BE49-F238E27FC236}">
                        <a16:creationId xmlns="" xmlns:a16="http://schemas.microsoft.com/office/drawing/2014/main" id="{00000000-0008-0000-0100-00004F000000}"/>
                      </a:ext>
                    </a:extLst>
                  </xdr:cNvPr>
                  <xdr:cNvSpPr txBox="1">
                    <a:spLocks noChangeAspect="1" noChangeArrowheads="1"/>
                  </xdr:cNvSpPr>
                </xdr:nvSpPr>
                <xdr:spPr bwMode="auto">
                  <a:xfrm>
                    <a:off x="1073558" y="1162112"/>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xdr:txBody>
              </xdr:sp>
              <xdr:sp macro="" textlink="">
                <xdr:nvSpPr>
                  <xdr:cNvPr id="80" name="Text Box 164">
                    <a:extLst>
                      <a:ext uri="{FF2B5EF4-FFF2-40B4-BE49-F238E27FC236}">
                        <a16:creationId xmlns="" xmlns:a16="http://schemas.microsoft.com/office/drawing/2014/main" id="{00000000-0008-0000-0100-000050000000}"/>
                      </a:ext>
                    </a:extLst>
                  </xdr:cNvPr>
                  <xdr:cNvSpPr txBox="1">
                    <a:spLocks noChangeAspect="1" noChangeArrowheads="1"/>
                  </xdr:cNvSpPr>
                </xdr:nvSpPr>
                <xdr:spPr bwMode="auto">
                  <a:xfrm>
                    <a:off x="1073558" y="1164149"/>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xdr:txBody>
              </xdr:sp>
              <xdr:sp macro="" textlink="">
                <xdr:nvSpPr>
                  <xdr:cNvPr id="81" name="Text Box 163">
                    <a:extLst>
                      <a:ext uri="{FF2B5EF4-FFF2-40B4-BE49-F238E27FC236}">
                        <a16:creationId xmlns="" xmlns:a16="http://schemas.microsoft.com/office/drawing/2014/main" id="{00000000-0008-0000-0100-000051000000}"/>
                      </a:ext>
                    </a:extLst>
                  </xdr:cNvPr>
                  <xdr:cNvSpPr txBox="1">
                    <a:spLocks noChangeAspect="1" noChangeArrowheads="1"/>
                  </xdr:cNvSpPr>
                </xdr:nvSpPr>
                <xdr:spPr bwMode="auto">
                  <a:xfrm>
                    <a:off x="1073558" y="116618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xdr:txBody>
              </xdr:sp>
              <xdr:sp macro="" textlink="">
                <xdr:nvSpPr>
                  <xdr:cNvPr id="82" name="Text Box 162">
                    <a:extLst>
                      <a:ext uri="{FF2B5EF4-FFF2-40B4-BE49-F238E27FC236}">
                        <a16:creationId xmlns="" xmlns:a16="http://schemas.microsoft.com/office/drawing/2014/main" id="{00000000-0008-0000-0100-000052000000}"/>
                      </a:ext>
                    </a:extLst>
                  </xdr:cNvPr>
                  <xdr:cNvSpPr txBox="1">
                    <a:spLocks noChangeAspect="1" noChangeArrowheads="1"/>
                  </xdr:cNvSpPr>
                </xdr:nvSpPr>
                <xdr:spPr bwMode="auto">
                  <a:xfrm>
                    <a:off x="1073558" y="1168223"/>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xdr:txBody>
              </xdr:sp>
              <xdr:sp macro="" textlink="">
                <xdr:nvSpPr>
                  <xdr:cNvPr id="83" name="Text Box 161">
                    <a:extLst>
                      <a:ext uri="{FF2B5EF4-FFF2-40B4-BE49-F238E27FC236}">
                        <a16:creationId xmlns="" xmlns:a16="http://schemas.microsoft.com/office/drawing/2014/main" id="{00000000-0008-0000-0100-000053000000}"/>
                      </a:ext>
                    </a:extLst>
                  </xdr:cNvPr>
                  <xdr:cNvSpPr txBox="1">
                    <a:spLocks noChangeAspect="1" noChangeArrowheads="1"/>
                  </xdr:cNvSpPr>
                </xdr:nvSpPr>
                <xdr:spPr bwMode="auto">
                  <a:xfrm>
                    <a:off x="1073558" y="1170260"/>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xdr:txBody>
              </xdr:sp>
            </xdr:grpSp>
            <xdr:sp macro="" textlink="">
              <xdr:nvSpPr>
                <xdr:cNvPr id="36" name="Text Box 159">
                  <a:extLst>
                    <a:ext uri="{FF2B5EF4-FFF2-40B4-BE49-F238E27FC236}">
                      <a16:creationId xmlns="" xmlns:a16="http://schemas.microsoft.com/office/drawing/2014/main" id="{00000000-0008-0000-0100-000024000000}"/>
                    </a:ext>
                  </a:extLst>
                </xdr:cNvPr>
                <xdr:cNvSpPr txBox="1">
                  <a:spLocks noChangeAspect="1" noChangeArrowheads="1"/>
                </xdr:cNvSpPr>
              </xdr:nvSpPr>
              <xdr:spPr bwMode="auto">
                <a:xfrm>
                  <a:off x="1156760" y="1153246"/>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xdr:txBody>
            </xdr:sp>
            <xdr:sp macro="" textlink="">
              <xdr:nvSpPr>
                <xdr:cNvPr id="37" name="Text Box 158">
                  <a:extLst>
                    <a:ext uri="{FF2B5EF4-FFF2-40B4-BE49-F238E27FC236}">
                      <a16:creationId xmlns="" xmlns:a16="http://schemas.microsoft.com/office/drawing/2014/main" id="{00000000-0008-0000-0100-000025000000}"/>
                    </a:ext>
                  </a:extLst>
                </xdr:cNvPr>
                <xdr:cNvSpPr txBox="1">
                  <a:spLocks noChangeAspect="1" noChangeArrowheads="1"/>
                </xdr:cNvSpPr>
              </xdr:nvSpPr>
              <xdr:spPr bwMode="auto">
                <a:xfrm>
                  <a:off x="1159855" y="115875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xdr:txBody>
            </xdr:sp>
            <xdr:sp macro="" textlink="">
              <xdr:nvSpPr>
                <xdr:cNvPr id="38" name="Text Box 157">
                  <a:extLst>
                    <a:ext uri="{FF2B5EF4-FFF2-40B4-BE49-F238E27FC236}">
                      <a16:creationId xmlns="" xmlns:a16="http://schemas.microsoft.com/office/drawing/2014/main" id="{00000000-0008-0000-0100-000026000000}"/>
                    </a:ext>
                  </a:extLst>
                </xdr:cNvPr>
                <xdr:cNvSpPr txBox="1">
                  <a:spLocks noChangeAspect="1" noChangeArrowheads="1"/>
                </xdr:cNvSpPr>
              </xdr:nvSpPr>
              <xdr:spPr bwMode="auto">
                <a:xfrm>
                  <a:off x="1156284" y="1158967"/>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xdr:txBody>
            </xdr:sp>
            <xdr:sp macro="" textlink="">
              <xdr:nvSpPr>
                <xdr:cNvPr id="39" name="Text Box 156">
                  <a:extLst>
                    <a:ext uri="{FF2B5EF4-FFF2-40B4-BE49-F238E27FC236}">
                      <a16:creationId xmlns="" xmlns:a16="http://schemas.microsoft.com/office/drawing/2014/main" id="{00000000-0008-0000-0100-000027000000}"/>
                    </a:ext>
                  </a:extLst>
                </xdr:cNvPr>
                <xdr:cNvSpPr txBox="1">
                  <a:spLocks noChangeAspect="1" noChangeArrowheads="1"/>
                </xdr:cNvSpPr>
              </xdr:nvSpPr>
              <xdr:spPr bwMode="auto">
                <a:xfrm>
                  <a:off x="1155463" y="1160880"/>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xdr:txBody>
            </xdr:sp>
            <xdr:sp macro="" textlink="">
              <xdr:nvSpPr>
                <xdr:cNvPr id="40" name="Text Box 155">
                  <a:extLst>
                    <a:ext uri="{FF2B5EF4-FFF2-40B4-BE49-F238E27FC236}">
                      <a16:creationId xmlns="" xmlns:a16="http://schemas.microsoft.com/office/drawing/2014/main" id="{00000000-0008-0000-0100-000028000000}"/>
                    </a:ext>
                  </a:extLst>
                </xdr:cNvPr>
                <xdr:cNvSpPr txBox="1">
                  <a:spLocks noChangeAspect="1" noChangeArrowheads="1"/>
                </xdr:cNvSpPr>
              </xdr:nvSpPr>
              <xdr:spPr bwMode="auto">
                <a:xfrm>
                  <a:off x="1157089" y="116237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xdr:txBody>
            </xdr:sp>
            <xdr:sp macro="" textlink="">
              <xdr:nvSpPr>
                <xdr:cNvPr id="41" name="Text Box 154">
                  <a:extLst>
                    <a:ext uri="{FF2B5EF4-FFF2-40B4-BE49-F238E27FC236}">
                      <a16:creationId xmlns="" xmlns:a16="http://schemas.microsoft.com/office/drawing/2014/main" id="{00000000-0008-0000-0100-000029000000}"/>
                    </a:ext>
                  </a:extLst>
                </xdr:cNvPr>
                <xdr:cNvSpPr txBox="1">
                  <a:spLocks noChangeAspect="1" noChangeArrowheads="1"/>
                </xdr:cNvSpPr>
              </xdr:nvSpPr>
              <xdr:spPr bwMode="auto">
                <a:xfrm>
                  <a:off x="1146251" y="11620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xdr:txBody>
            </xdr:sp>
            <xdr:sp macro="" textlink="">
              <xdr:nvSpPr>
                <xdr:cNvPr id="42" name="Text Box 153">
                  <a:extLst>
                    <a:ext uri="{FF2B5EF4-FFF2-40B4-BE49-F238E27FC236}">
                      <a16:creationId xmlns="" xmlns:a16="http://schemas.microsoft.com/office/drawing/2014/main" id="{00000000-0008-0000-0100-00002A000000}"/>
                    </a:ext>
                  </a:extLst>
                </xdr:cNvPr>
                <xdr:cNvSpPr txBox="1">
                  <a:spLocks noChangeAspect="1" noChangeArrowheads="1"/>
                </xdr:cNvSpPr>
              </xdr:nvSpPr>
              <xdr:spPr bwMode="auto">
                <a:xfrm>
                  <a:off x="1156986" y="116420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xdr:txBody>
            </xdr:sp>
            <xdr:sp macro="" textlink="">
              <xdr:nvSpPr>
                <xdr:cNvPr id="43" name="Text Box 152">
                  <a:extLst>
                    <a:ext uri="{FF2B5EF4-FFF2-40B4-BE49-F238E27FC236}">
                      <a16:creationId xmlns="" xmlns:a16="http://schemas.microsoft.com/office/drawing/2014/main" id="{00000000-0008-0000-0100-00002B000000}"/>
                    </a:ext>
                  </a:extLst>
                </xdr:cNvPr>
                <xdr:cNvSpPr txBox="1">
                  <a:spLocks noChangeAspect="1" noChangeArrowheads="1"/>
                </xdr:cNvSpPr>
              </xdr:nvSpPr>
              <xdr:spPr bwMode="auto">
                <a:xfrm>
                  <a:off x="1157266" y="118090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xdr:txBody>
            </xdr:sp>
            <xdr:sp macro="" textlink="">
              <xdr:nvSpPr>
                <xdr:cNvPr id="44" name="Text Box 151">
                  <a:extLst>
                    <a:ext uri="{FF2B5EF4-FFF2-40B4-BE49-F238E27FC236}">
                      <a16:creationId xmlns="" xmlns:a16="http://schemas.microsoft.com/office/drawing/2014/main" id="{00000000-0008-0000-0100-00002C000000}"/>
                    </a:ext>
                  </a:extLst>
                </xdr:cNvPr>
                <xdr:cNvSpPr txBox="1">
                  <a:spLocks noChangeAspect="1" noChangeArrowheads="1"/>
                </xdr:cNvSpPr>
              </xdr:nvSpPr>
              <xdr:spPr bwMode="auto">
                <a:xfrm>
                  <a:off x="1157968" y="1187287"/>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xdr:txBody>
            </xdr:sp>
            <xdr:sp macro="" textlink="">
              <xdr:nvSpPr>
                <xdr:cNvPr id="45" name="Text Box 150">
                  <a:extLst>
                    <a:ext uri="{FF2B5EF4-FFF2-40B4-BE49-F238E27FC236}">
                      <a16:creationId xmlns="" xmlns:a16="http://schemas.microsoft.com/office/drawing/2014/main" id="{00000000-0008-0000-0100-00002D000000}"/>
                    </a:ext>
                  </a:extLst>
                </xdr:cNvPr>
                <xdr:cNvSpPr txBox="1">
                  <a:spLocks noChangeAspect="1" noChangeArrowheads="1"/>
                </xdr:cNvSpPr>
              </xdr:nvSpPr>
              <xdr:spPr bwMode="auto">
                <a:xfrm>
                  <a:off x="1153011"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xdr:txBody>
            </xdr:sp>
            <xdr:sp macro="" textlink="">
              <xdr:nvSpPr>
                <xdr:cNvPr id="46" name="Text Box 149">
                  <a:extLst>
                    <a:ext uri="{FF2B5EF4-FFF2-40B4-BE49-F238E27FC236}">
                      <a16:creationId xmlns="" xmlns:a16="http://schemas.microsoft.com/office/drawing/2014/main" id="{00000000-0008-0000-0100-00002E000000}"/>
                    </a:ext>
                  </a:extLst>
                </xdr:cNvPr>
                <xdr:cNvSpPr txBox="1">
                  <a:spLocks noChangeAspect="1" noChangeArrowheads="1"/>
                </xdr:cNvSpPr>
              </xdr:nvSpPr>
              <xdr:spPr bwMode="auto">
                <a:xfrm>
                  <a:off x="1158487" y="1174075"/>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xdr:txBody>
            </xdr:sp>
            <xdr:sp macro="" textlink="">
              <xdr:nvSpPr>
                <xdr:cNvPr id="47" name="Text Box 148">
                  <a:extLst>
                    <a:ext uri="{FF2B5EF4-FFF2-40B4-BE49-F238E27FC236}">
                      <a16:creationId xmlns="" xmlns:a16="http://schemas.microsoft.com/office/drawing/2014/main" id="{00000000-0008-0000-0100-00002F000000}"/>
                    </a:ext>
                  </a:extLst>
                </xdr:cNvPr>
                <xdr:cNvSpPr txBox="1">
                  <a:spLocks noChangeAspect="1" noChangeArrowheads="1"/>
                </xdr:cNvSpPr>
              </xdr:nvSpPr>
              <xdr:spPr bwMode="auto">
                <a:xfrm>
                  <a:off x="1159323" y="1171313"/>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xdr:txBody>
            </xdr:sp>
            <xdr:sp macro="" textlink="">
              <xdr:nvSpPr>
                <xdr:cNvPr id="48" name="Text Box 147">
                  <a:extLst>
                    <a:ext uri="{FF2B5EF4-FFF2-40B4-BE49-F238E27FC236}">
                      <a16:creationId xmlns="" xmlns:a16="http://schemas.microsoft.com/office/drawing/2014/main" id="{00000000-0008-0000-0100-000030000000}"/>
                    </a:ext>
                  </a:extLst>
                </xdr:cNvPr>
                <xdr:cNvSpPr txBox="1">
                  <a:spLocks noChangeAspect="1" noChangeArrowheads="1"/>
                </xdr:cNvSpPr>
              </xdr:nvSpPr>
              <xdr:spPr bwMode="auto">
                <a:xfrm>
                  <a:off x="1159679" y="116979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xdr:txBody>
            </xdr:sp>
            <xdr:sp macro="" textlink="">
              <xdr:nvSpPr>
                <xdr:cNvPr id="49" name="Text Box 146">
                  <a:extLst>
                    <a:ext uri="{FF2B5EF4-FFF2-40B4-BE49-F238E27FC236}">
                      <a16:creationId xmlns="" xmlns:a16="http://schemas.microsoft.com/office/drawing/2014/main" id="{00000000-0008-0000-0100-000031000000}"/>
                    </a:ext>
                  </a:extLst>
                </xdr:cNvPr>
                <xdr:cNvSpPr txBox="1">
                  <a:spLocks noChangeAspect="1" noChangeArrowheads="1"/>
                </xdr:cNvSpPr>
              </xdr:nvSpPr>
              <xdr:spPr bwMode="auto">
                <a:xfrm>
                  <a:off x="1159931" y="1168098"/>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xdr:txBody>
            </xdr:sp>
            <xdr:sp macro="" textlink="">
              <xdr:nvSpPr>
                <xdr:cNvPr id="50" name="Text Box 145">
                  <a:extLst>
                    <a:ext uri="{FF2B5EF4-FFF2-40B4-BE49-F238E27FC236}">
                      <a16:creationId xmlns="" xmlns:a16="http://schemas.microsoft.com/office/drawing/2014/main" id="{00000000-0008-0000-0100-000032000000}"/>
                    </a:ext>
                  </a:extLst>
                </xdr:cNvPr>
                <xdr:cNvSpPr txBox="1">
                  <a:spLocks noChangeAspect="1" noChangeArrowheads="1"/>
                </xdr:cNvSpPr>
              </xdr:nvSpPr>
              <xdr:spPr bwMode="auto">
                <a:xfrm>
                  <a:off x="1164669" y="11566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xdr:txBody>
            </xdr:sp>
            <xdr:sp macro="" textlink="">
              <xdr:nvSpPr>
                <xdr:cNvPr id="51" name="Text Box 144">
                  <a:extLst>
                    <a:ext uri="{FF2B5EF4-FFF2-40B4-BE49-F238E27FC236}">
                      <a16:creationId xmlns="" xmlns:a16="http://schemas.microsoft.com/office/drawing/2014/main" id="{00000000-0008-0000-0100-000033000000}"/>
                    </a:ext>
                  </a:extLst>
                </xdr:cNvPr>
                <xdr:cNvSpPr txBox="1">
                  <a:spLocks noChangeAspect="1" noChangeArrowheads="1"/>
                </xdr:cNvSpPr>
              </xdr:nvSpPr>
              <xdr:spPr bwMode="auto">
                <a:xfrm>
                  <a:off x="1172365" y="1158571"/>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xdr:txBody>
            </xdr:sp>
            <xdr:sp macro="" textlink="">
              <xdr:nvSpPr>
                <xdr:cNvPr id="52" name="Text Box 143">
                  <a:extLst>
                    <a:ext uri="{FF2B5EF4-FFF2-40B4-BE49-F238E27FC236}">
                      <a16:creationId xmlns="" xmlns:a16="http://schemas.microsoft.com/office/drawing/2014/main" id="{00000000-0008-0000-0100-000034000000}"/>
                    </a:ext>
                  </a:extLst>
                </xdr:cNvPr>
                <xdr:cNvSpPr txBox="1">
                  <a:spLocks noChangeAspect="1" noChangeArrowheads="1"/>
                </xdr:cNvSpPr>
              </xdr:nvSpPr>
              <xdr:spPr bwMode="auto">
                <a:xfrm>
                  <a:off x="1167708" y="1163559"/>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xdr:txBody>
            </xdr:sp>
            <xdr:sp macro="" textlink="">
              <xdr:nvSpPr>
                <xdr:cNvPr id="53" name="Text Box 142">
                  <a:extLst>
                    <a:ext uri="{FF2B5EF4-FFF2-40B4-BE49-F238E27FC236}">
                      <a16:creationId xmlns="" xmlns:a16="http://schemas.microsoft.com/office/drawing/2014/main" id="{00000000-0008-0000-0100-000035000000}"/>
                    </a:ext>
                  </a:extLst>
                </xdr:cNvPr>
                <xdr:cNvSpPr txBox="1">
                  <a:spLocks noChangeAspect="1" noChangeArrowheads="1"/>
                </xdr:cNvSpPr>
              </xdr:nvSpPr>
              <xdr:spPr bwMode="auto">
                <a:xfrm>
                  <a:off x="1166727" y="1173069"/>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xdr:txBody>
            </xdr:sp>
            <xdr:sp macro="" textlink="">
              <xdr:nvSpPr>
                <xdr:cNvPr id="54" name="Text Box 141">
                  <a:extLst>
                    <a:ext uri="{FF2B5EF4-FFF2-40B4-BE49-F238E27FC236}">
                      <a16:creationId xmlns="" xmlns:a16="http://schemas.microsoft.com/office/drawing/2014/main" id="{00000000-0008-0000-0100-000036000000}"/>
                    </a:ext>
                  </a:extLst>
                </xdr:cNvPr>
                <xdr:cNvSpPr txBox="1">
                  <a:spLocks noChangeAspect="1" noChangeArrowheads="1"/>
                </xdr:cNvSpPr>
              </xdr:nvSpPr>
              <xdr:spPr bwMode="auto">
                <a:xfrm>
                  <a:off x="1166923" y="117540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xdr:txBody>
            </xdr:sp>
            <xdr:sp macro="" textlink="">
              <xdr:nvSpPr>
                <xdr:cNvPr id="55" name="Text Box 140">
                  <a:extLst>
                    <a:ext uri="{FF2B5EF4-FFF2-40B4-BE49-F238E27FC236}">
                      <a16:creationId xmlns="" xmlns:a16="http://schemas.microsoft.com/office/drawing/2014/main" id="{00000000-0008-0000-0100-000037000000}"/>
                    </a:ext>
                  </a:extLst>
                </xdr:cNvPr>
                <xdr:cNvSpPr txBox="1">
                  <a:spLocks noChangeAspect="1" noChangeArrowheads="1"/>
                </xdr:cNvSpPr>
              </xdr:nvSpPr>
              <xdr:spPr bwMode="auto">
                <a:xfrm>
                  <a:off x="1166727" y="1178009"/>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xdr:txBody>
            </xdr:sp>
            <xdr:sp macro="" textlink="">
              <xdr:nvSpPr>
                <xdr:cNvPr id="56" name="Text Box 139">
                  <a:extLst>
                    <a:ext uri="{FF2B5EF4-FFF2-40B4-BE49-F238E27FC236}">
                      <a16:creationId xmlns="" xmlns:a16="http://schemas.microsoft.com/office/drawing/2014/main" id="{00000000-0008-0000-0100-000038000000}"/>
                    </a:ext>
                  </a:extLst>
                </xdr:cNvPr>
                <xdr:cNvSpPr txBox="1">
                  <a:spLocks noChangeAspect="1" noChangeArrowheads="1"/>
                </xdr:cNvSpPr>
              </xdr:nvSpPr>
              <xdr:spPr bwMode="auto">
                <a:xfrm>
                  <a:off x="1166394" y="118052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xdr:txBody>
            </xdr:sp>
            <xdr:sp macro="" textlink="">
              <xdr:nvSpPr>
                <xdr:cNvPr id="57" name="Text Box 138">
                  <a:extLst>
                    <a:ext uri="{FF2B5EF4-FFF2-40B4-BE49-F238E27FC236}">
                      <a16:creationId xmlns="" xmlns:a16="http://schemas.microsoft.com/office/drawing/2014/main" id="{00000000-0008-0000-0100-000039000000}"/>
                    </a:ext>
                  </a:extLst>
                </xdr:cNvPr>
                <xdr:cNvSpPr txBox="1">
                  <a:spLocks noChangeAspect="1" noChangeArrowheads="1"/>
                </xdr:cNvSpPr>
              </xdr:nvSpPr>
              <xdr:spPr bwMode="auto">
                <a:xfrm>
                  <a:off x="1166394" y="1181333"/>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xdr:txBody>
            </xdr:sp>
            <xdr:sp macro="" textlink="">
              <xdr:nvSpPr>
                <xdr:cNvPr id="58" name="Text Box 137">
                  <a:extLst>
                    <a:ext uri="{FF2B5EF4-FFF2-40B4-BE49-F238E27FC236}">
                      <a16:creationId xmlns="" xmlns:a16="http://schemas.microsoft.com/office/drawing/2014/main" id="{00000000-0008-0000-0100-00003A000000}"/>
                    </a:ext>
                  </a:extLst>
                </xdr:cNvPr>
                <xdr:cNvSpPr txBox="1">
                  <a:spLocks noChangeAspect="1" noChangeArrowheads="1"/>
                </xdr:cNvSpPr>
              </xdr:nvSpPr>
              <xdr:spPr bwMode="auto">
                <a:xfrm>
                  <a:off x="1164125"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xdr:txBody>
            </xdr:sp>
            <xdr:sp macro="" textlink="">
              <xdr:nvSpPr>
                <xdr:cNvPr id="59" name="Text Box 136">
                  <a:extLst>
                    <a:ext uri="{FF2B5EF4-FFF2-40B4-BE49-F238E27FC236}">
                      <a16:creationId xmlns="" xmlns:a16="http://schemas.microsoft.com/office/drawing/2014/main" id="{00000000-0008-0000-0100-00003B000000}"/>
                    </a:ext>
                  </a:extLst>
                </xdr:cNvPr>
                <xdr:cNvSpPr txBox="1">
                  <a:spLocks noChangeAspect="1" noChangeArrowheads="1"/>
                </xdr:cNvSpPr>
              </xdr:nvSpPr>
              <xdr:spPr bwMode="auto">
                <a:xfrm>
                  <a:off x="1157217" y="1191026"/>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xdr:txBody>
            </xdr:sp>
            <xdr:sp macro="" textlink="">
              <xdr:nvSpPr>
                <xdr:cNvPr id="60" name="Text Box 135">
                  <a:extLst>
                    <a:ext uri="{FF2B5EF4-FFF2-40B4-BE49-F238E27FC236}">
                      <a16:creationId xmlns="" xmlns:a16="http://schemas.microsoft.com/office/drawing/2014/main" id="{00000000-0008-0000-0100-00003C000000}"/>
                    </a:ext>
                  </a:extLst>
                </xdr:cNvPr>
                <xdr:cNvSpPr txBox="1">
                  <a:spLocks noChangeAspect="1" noChangeArrowheads="1"/>
                </xdr:cNvSpPr>
              </xdr:nvSpPr>
              <xdr:spPr bwMode="auto">
                <a:xfrm>
                  <a:off x="1147233" y="117612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xdr:txBody>
            </xdr:sp>
            <xdr:sp macro="" textlink="">
              <xdr:nvSpPr>
                <xdr:cNvPr id="61" name="Text Box 134">
                  <a:extLst>
                    <a:ext uri="{FF2B5EF4-FFF2-40B4-BE49-F238E27FC236}">
                      <a16:creationId xmlns="" xmlns:a16="http://schemas.microsoft.com/office/drawing/2014/main" id="{00000000-0008-0000-0100-00003D000000}"/>
                    </a:ext>
                  </a:extLst>
                </xdr:cNvPr>
                <xdr:cNvSpPr txBox="1">
                  <a:spLocks noChangeAspect="1" noChangeArrowheads="1"/>
                </xdr:cNvSpPr>
              </xdr:nvSpPr>
              <xdr:spPr bwMode="auto">
                <a:xfrm>
                  <a:off x="1147167" y="1175234"/>
                  <a:ext cx="2636" cy="1583"/>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xdr:txBody>
            </xdr:sp>
          </xdr:grpSp>
          <xdr:grpSp>
            <xdr:nvGrpSpPr>
              <xdr:cNvPr id="25" name="Group 124">
                <a:extLst>
                  <a:ext uri="{FF2B5EF4-FFF2-40B4-BE49-F238E27FC236}">
                    <a16:creationId xmlns="" xmlns:a16="http://schemas.microsoft.com/office/drawing/2014/main" id="{00000000-0008-0000-0100-000019000000}"/>
                  </a:ext>
                </a:extLst>
              </xdr:cNvPr>
              <xdr:cNvGrpSpPr>
                <a:grpSpLocks/>
              </xdr:cNvGrpSpPr>
            </xdr:nvGrpSpPr>
            <xdr:grpSpPr bwMode="auto">
              <a:xfrm>
                <a:off x="1246535" y="1194128"/>
                <a:ext cx="22459" cy="7411"/>
                <a:chOff x="1210860" y="1183945"/>
                <a:chExt cx="22458" cy="7411"/>
              </a:xfrm>
            </xdr:grpSpPr>
            <xdr:sp macro="" textlink="">
              <xdr:nvSpPr>
                <xdr:cNvPr id="27" name="Rectangle 132">
                  <a:extLst>
                    <a:ext uri="{FF2B5EF4-FFF2-40B4-BE49-F238E27FC236}">
                      <a16:creationId xmlns="" xmlns:a16="http://schemas.microsoft.com/office/drawing/2014/main" id="{00000000-0008-0000-0100-00001B000000}"/>
                    </a:ext>
                  </a:extLst>
                </xdr:cNvPr>
                <xdr:cNvSpPr>
                  <a:spLocks noChangeArrowheads="1"/>
                </xdr:cNvSpPr>
              </xdr:nvSpPr>
              <xdr:spPr bwMode="auto">
                <a:xfrm>
                  <a:off x="1210860" y="1183945"/>
                  <a:ext cx="22458" cy="7411"/>
                </a:xfrm>
                <a:prstGeom prst="rect">
                  <a:avLst/>
                </a:prstGeom>
                <a:solidFill>
                  <a:srgbClr val="FFFFFF"/>
                </a:solidFill>
                <a:ln w="1270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8" name="AutoShape 131">
                  <a:extLst>
                    <a:ext uri="{FF2B5EF4-FFF2-40B4-BE49-F238E27FC236}">
                      <a16:creationId xmlns="" xmlns:a16="http://schemas.microsoft.com/office/drawing/2014/main" id="{00000000-0008-0000-0100-00001C000000}"/>
                    </a:ext>
                  </a:extLst>
                </xdr:cNvPr>
                <xdr:cNvSpPr>
                  <a:spLocks noChangeShapeType="1"/>
                </xdr:cNvSpPr>
              </xdr:nvSpPr>
              <xdr:spPr bwMode="auto">
                <a:xfrm flipV="1">
                  <a:off x="1229160" y="1187547"/>
                  <a:ext cx="36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9" name="AutoShape 130">
                  <a:extLst>
                    <a:ext uri="{FF2B5EF4-FFF2-40B4-BE49-F238E27FC236}">
                      <a16:creationId xmlns="" xmlns:a16="http://schemas.microsoft.com/office/drawing/2014/main" id="{00000000-0008-0000-0100-00001D000000}"/>
                    </a:ext>
                  </a:extLst>
                </xdr:cNvPr>
                <xdr:cNvSpPr>
                  <a:spLocks noChangeShapeType="1"/>
                </xdr:cNvSpPr>
              </xdr:nvSpPr>
              <xdr:spPr bwMode="auto">
                <a:xfrm flipV="1">
                  <a:off x="1214760" y="1190344"/>
                  <a:ext cx="180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30" name="AutoShape 129">
                  <a:extLst>
                    <a:ext uri="{FF2B5EF4-FFF2-40B4-BE49-F238E27FC236}">
                      <a16:creationId xmlns="" xmlns:a16="http://schemas.microsoft.com/office/drawing/2014/main" id="{00000000-0008-0000-0100-00001E000000}"/>
                    </a:ext>
                  </a:extLst>
                </xdr:cNvPr>
                <xdr:cNvSpPr>
                  <a:spLocks noChangeShapeType="1"/>
                </xdr:cNvSpPr>
              </xdr:nvSpPr>
              <xdr:spPr bwMode="auto">
                <a:xfrm flipV="1">
                  <a:off x="1225560" y="1188882"/>
                  <a:ext cx="72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31" name="Text Box 128">
                  <a:extLst>
                    <a:ext uri="{FF2B5EF4-FFF2-40B4-BE49-F238E27FC236}">
                      <a16:creationId xmlns="" xmlns:a16="http://schemas.microsoft.com/office/drawing/2014/main" id="{00000000-0008-0000-0100-00001F000000}"/>
                    </a:ext>
                  </a:extLst>
                </xdr:cNvPr>
                <xdr:cNvSpPr txBox="1">
                  <a:spLocks noChangeArrowheads="1"/>
                </xdr:cNvSpPr>
              </xdr:nvSpPr>
              <xdr:spPr bwMode="auto">
                <a:xfrm>
                  <a:off x="1226252" y="1186554"/>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xdr:txBody>
            </xdr:sp>
            <xdr:sp macro="" textlink="">
              <xdr:nvSpPr>
                <xdr:cNvPr id="32" name="Text Box 127">
                  <a:extLst>
                    <a:ext uri="{FF2B5EF4-FFF2-40B4-BE49-F238E27FC236}">
                      <a16:creationId xmlns="" xmlns:a16="http://schemas.microsoft.com/office/drawing/2014/main" id="{00000000-0008-0000-0100-000020000000}"/>
                    </a:ext>
                  </a:extLst>
                </xdr:cNvPr>
                <xdr:cNvSpPr txBox="1">
                  <a:spLocks noChangeArrowheads="1"/>
                </xdr:cNvSpPr>
              </xdr:nvSpPr>
              <xdr:spPr bwMode="auto">
                <a:xfrm>
                  <a:off x="1222571" y="1187899"/>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xdr:txBody>
            </xdr:sp>
            <xdr:sp macro="" textlink="">
              <xdr:nvSpPr>
                <xdr:cNvPr id="33" name="Text Box 126">
                  <a:extLst>
                    <a:ext uri="{FF2B5EF4-FFF2-40B4-BE49-F238E27FC236}">
                      <a16:creationId xmlns="" xmlns:a16="http://schemas.microsoft.com/office/drawing/2014/main" id="{00000000-0008-0000-0100-000021000000}"/>
                    </a:ext>
                  </a:extLst>
                </xdr:cNvPr>
                <xdr:cNvSpPr txBox="1">
                  <a:spLocks noChangeArrowheads="1"/>
                </xdr:cNvSpPr>
              </xdr:nvSpPr>
              <xdr:spPr bwMode="auto">
                <a:xfrm>
                  <a:off x="1211855" y="1189328"/>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xdr:txBody>
            </xdr:sp>
            <xdr:sp macro="" textlink="">
              <xdr:nvSpPr>
                <xdr:cNvPr id="34" name="Text Box 125">
                  <a:extLst>
                    <a:ext uri="{FF2B5EF4-FFF2-40B4-BE49-F238E27FC236}">
                      <a16:creationId xmlns="" xmlns:a16="http://schemas.microsoft.com/office/drawing/2014/main" id="{00000000-0008-0000-0100-000022000000}"/>
                    </a:ext>
                  </a:extLst>
                </xdr:cNvPr>
                <xdr:cNvSpPr txBox="1">
                  <a:spLocks noChangeArrowheads="1"/>
                </xdr:cNvSpPr>
              </xdr:nvSpPr>
              <xdr:spPr bwMode="auto">
                <a:xfrm>
                  <a:off x="1211664" y="1184526"/>
                  <a:ext cx="21654" cy="2230"/>
                </a:xfrm>
                <a:prstGeom prst="rect">
                  <a:avLst/>
                </a:prstGeom>
                <a:noFill/>
                <a:ln w="12700">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xdr:txBody>
            </xdr:sp>
          </xdr:grpSp>
          <xdr:pic>
            <xdr:nvPicPr>
              <xdr:cNvPr id="26" name="Picture 25" descr="key for track infomation">
                <a:extLst>
                  <a:ext uri="{FF2B5EF4-FFF2-40B4-BE49-F238E27FC236}">
                    <a16:creationId xmlns="" xmlns:a16="http://schemas.microsoft.com/office/drawing/2014/main" id="{00000000-0008-0000-0100-00001A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254350" y="1171699"/>
                <a:ext cx="14662" cy="223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pic>
        </xdr:grpSp>
      </xdr:grpSp>
      <xdr:sp macro="" textlink="">
        <xdr:nvSpPr>
          <xdr:cNvPr id="21" name="TextBox 20">
            <a:extLst>
              <a:ext uri="{FF2B5EF4-FFF2-40B4-BE49-F238E27FC236}">
                <a16:creationId xmlns="" xmlns:a16="http://schemas.microsoft.com/office/drawing/2014/main" id="{00000000-0008-0000-0100-000015000000}"/>
              </a:ext>
            </a:extLst>
          </xdr:cNvPr>
          <xdr:cNvSpPr txBox="1"/>
        </xdr:nvSpPr>
        <xdr:spPr>
          <a:xfrm rot="16200000">
            <a:off x="3633109" y="3878037"/>
            <a:ext cx="1279072" cy="2993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50"/>
              <a:t>Height</a:t>
            </a:r>
            <a:r>
              <a:rPr lang="en-GB" sz="1050" baseline="0"/>
              <a:t> up Hill (m)</a:t>
            </a:r>
            <a:endParaRPr lang="en-GB" sz="1050"/>
          </a:p>
        </xdr:txBody>
      </xdr:sp>
    </xdr:grpSp>
    <xdr:clientData/>
  </xdr:twoCellAnchor>
  <xdr:twoCellAnchor>
    <xdr:from>
      <xdr:col>31</xdr:col>
      <xdr:colOff>582384</xdr:colOff>
      <xdr:row>200</xdr:row>
      <xdr:rowOff>92537</xdr:rowOff>
    </xdr:from>
    <xdr:to>
      <xdr:col>31</xdr:col>
      <xdr:colOff>14363699</xdr:colOff>
      <xdr:row>235</xdr:row>
      <xdr:rowOff>0</xdr:rowOff>
    </xdr:to>
    <xdr:graphicFrame macro="">
      <xdr:nvGraphicFramePr>
        <xdr:cNvPr id="136" name="Chart 135">
          <a:extLst>
            <a:ext uri="{FF2B5EF4-FFF2-40B4-BE49-F238E27FC236}">
              <a16:creationId xmlns="" xmlns:a16="http://schemas.microsoft.com/office/drawing/2014/main" id="{00000000-0008-0000-01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12</xdr:col>
      <xdr:colOff>2119312</xdr:colOff>
      <xdr:row>113</xdr:row>
      <xdr:rowOff>214312</xdr:rowOff>
    </xdr:from>
    <xdr:to>
      <xdr:col>22</xdr:col>
      <xdr:colOff>357187</xdr:colOff>
      <xdr:row>172</xdr:row>
      <xdr:rowOff>166687</xdr:rowOff>
    </xdr:to>
    <xdr:graphicFrame macro="">
      <xdr:nvGraphicFramePr>
        <xdr:cNvPr id="140" name="Chart 139">
          <a:extLst>
            <a:ext uri="{FF2B5EF4-FFF2-40B4-BE49-F238E27FC236}">
              <a16:creationId xmlns="" xmlns:a16="http://schemas.microsoft.com/office/drawing/2014/main" id="{00000000-0008-0000-0100-00008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47625</xdr:colOff>
      <xdr:row>1</xdr:row>
      <xdr:rowOff>162706</xdr:rowOff>
    </xdr:from>
    <xdr:to>
      <xdr:col>7</xdr:col>
      <xdr:colOff>0</xdr:colOff>
      <xdr:row>20</xdr:row>
      <xdr:rowOff>200807</xdr:rowOff>
    </xdr:to>
    <xdr:grpSp>
      <xdr:nvGrpSpPr>
        <xdr:cNvPr id="128" name="Group 25">
          <a:extLst>
            <a:ext uri="{FF2B5EF4-FFF2-40B4-BE49-F238E27FC236}">
              <a16:creationId xmlns="" xmlns:a16="http://schemas.microsoft.com/office/drawing/2014/main" id="{00000000-0008-0000-0200-000080000000}"/>
            </a:ext>
          </a:extLst>
        </xdr:cNvPr>
        <xdr:cNvGrpSpPr>
          <a:grpSpLocks/>
        </xdr:cNvGrpSpPr>
      </xdr:nvGrpSpPr>
      <xdr:grpSpPr bwMode="auto">
        <a:xfrm>
          <a:off x="28990018" y="421242"/>
          <a:ext cx="8021411" cy="4691744"/>
          <a:chOff x="106860975" y="105289350"/>
          <a:chExt cx="6609369" cy="3656334"/>
        </a:xfrm>
      </xdr:grpSpPr>
      <xdr:pic>
        <xdr:nvPicPr>
          <xdr:cNvPr id="129" name="Picture 128">
            <a:extLst>
              <a:ext uri="{FF2B5EF4-FFF2-40B4-BE49-F238E27FC236}">
                <a16:creationId xmlns="" xmlns:a16="http://schemas.microsoft.com/office/drawing/2014/main" id="{00000000-0008-0000-02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130" name="AutoShape 27">
            <a:extLst>
              <a:ext uri="{FF2B5EF4-FFF2-40B4-BE49-F238E27FC236}">
                <a16:creationId xmlns="" xmlns:a16="http://schemas.microsoft.com/office/drawing/2014/main" id="{00000000-0008-0000-0200-000082000000}"/>
              </a:ext>
            </a:extLst>
          </xdr:cNvPr>
          <xdr:cNvCxnSpPr>
            <a:cxnSpLocks noChangeShapeType="1"/>
          </xdr:cNvCxnSpPr>
        </xdr:nvCxnSpPr>
        <xdr:spPr bwMode="auto">
          <a:xfrm flipV="1">
            <a:off x="107858743" y="105538878"/>
            <a:ext cx="4608000" cy="0"/>
          </a:xfrm>
          <a:prstGeom prst="straightConnector1">
            <a:avLst/>
          </a:prstGeom>
          <a:noFill/>
          <a:ln w="22225">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31" name="AutoShape 28">
            <a:extLst>
              <a:ext uri="{FF2B5EF4-FFF2-40B4-BE49-F238E27FC236}">
                <a16:creationId xmlns="" xmlns:a16="http://schemas.microsoft.com/office/drawing/2014/main" id="{00000000-0008-0000-0200-000083000000}"/>
              </a:ext>
            </a:extLst>
          </xdr:cNvPr>
          <xdr:cNvCxnSpPr>
            <a:cxnSpLocks noChangeShapeType="1"/>
          </xdr:cNvCxnSpPr>
        </xdr:nvCxnSpPr>
        <xdr:spPr bwMode="auto">
          <a:xfrm flipV="1">
            <a:off x="107833405" y="108815290"/>
            <a:ext cx="4608000" cy="0"/>
          </a:xfrm>
          <a:prstGeom prst="straightConnector1">
            <a:avLst/>
          </a:prstGeom>
          <a:noFill/>
          <a:ln w="22225"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32" name="AutoShape 29">
            <a:extLst>
              <a:ext uri="{FF2B5EF4-FFF2-40B4-BE49-F238E27FC236}">
                <a16:creationId xmlns="" xmlns:a16="http://schemas.microsoft.com/office/drawing/2014/main" id="{00000000-0008-0000-0200-000084000000}"/>
              </a:ext>
            </a:extLst>
          </xdr:cNvPr>
          <xdr:cNvCxnSpPr>
            <a:cxnSpLocks noChangeShapeType="1"/>
          </xdr:cNvCxnSpPr>
        </xdr:nvCxnSpPr>
        <xdr:spPr bwMode="auto">
          <a:xfrm flipV="1">
            <a:off x="107849734" y="105538878"/>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33" name="AutoShape 30">
            <a:extLst>
              <a:ext uri="{FF2B5EF4-FFF2-40B4-BE49-F238E27FC236}">
                <a16:creationId xmlns="" xmlns:a16="http://schemas.microsoft.com/office/drawing/2014/main" id="{00000000-0008-0000-0200-000085000000}"/>
              </a:ext>
            </a:extLst>
          </xdr:cNvPr>
          <xdr:cNvCxnSpPr>
            <a:cxnSpLocks noChangeShapeType="1"/>
          </xdr:cNvCxnSpPr>
        </xdr:nvCxnSpPr>
        <xdr:spPr bwMode="auto">
          <a:xfrm flipV="1">
            <a:off x="112417792" y="105545107"/>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134" name="Text Box 31">
            <a:extLst>
              <a:ext uri="{FF2B5EF4-FFF2-40B4-BE49-F238E27FC236}">
                <a16:creationId xmlns="" xmlns:a16="http://schemas.microsoft.com/office/drawing/2014/main" id="{00000000-0008-0000-0200-000086000000}"/>
              </a:ext>
            </a:extLst>
          </xdr:cNvPr>
          <xdr:cNvSpPr txBox="1">
            <a:spLocks noChangeArrowheads="1"/>
          </xdr:cNvSpPr>
        </xdr:nvSpPr>
        <xdr:spPr bwMode="auto">
          <a:xfrm>
            <a:off x="112597736" y="105496335"/>
            <a:ext cx="544300" cy="332864"/>
          </a:xfrm>
          <a:prstGeom prst="rect">
            <a:avLst/>
          </a:prstGeom>
          <a:solidFill>
            <a:srgbClr val="FFFFFF"/>
          </a:solidFill>
          <a:ln w="22225"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6</xdr:col>
      <xdr:colOff>133350</xdr:colOff>
      <xdr:row>20</xdr:row>
      <xdr:rowOff>169039</xdr:rowOff>
    </xdr:from>
    <xdr:to>
      <xdr:col>6</xdr:col>
      <xdr:colOff>7932964</xdr:colOff>
      <xdr:row>28</xdr:row>
      <xdr:rowOff>81644</xdr:rowOff>
    </xdr:to>
    <xdr:sp macro="" textlink="">
      <xdr:nvSpPr>
        <xdr:cNvPr id="135" name="Text Box 32">
          <a:extLst>
            <a:ext uri="{FF2B5EF4-FFF2-40B4-BE49-F238E27FC236}">
              <a16:creationId xmlns="" xmlns:a16="http://schemas.microsoft.com/office/drawing/2014/main" id="{00000000-0008-0000-0200-000087000000}"/>
            </a:ext>
          </a:extLst>
        </xdr:cNvPr>
        <xdr:cNvSpPr txBox="1">
          <a:spLocks noChangeArrowheads="1"/>
        </xdr:cNvSpPr>
      </xdr:nvSpPr>
      <xdr:spPr bwMode="auto">
        <a:xfrm>
          <a:off x="28832175" y="4950589"/>
          <a:ext cx="7799614" cy="174140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1350mm height of the Buggy is equivelent to </a:t>
          </a:r>
          <a:r>
            <a:rPr lang="en-GB" sz="1100" b="0" i="0" baseline="0">
              <a:effectLst/>
              <a:latin typeface="Arial" panose="020B0604020202020204" pitchFamily="34" charset="0"/>
              <a:ea typeface="+mn-ea"/>
              <a:cs typeface="Arial" panose="020B0604020202020204" pitchFamily="34" charset="0"/>
            </a:rPr>
            <a:t>31.8 blocks. Giving each</a:t>
          </a:r>
          <a:r>
            <a:rPr lang="en-GB" sz="1100" b="0" i="0" u="none" strike="noStrike" baseline="0">
              <a:solidFill>
                <a:srgbClr val="000000"/>
              </a:solidFill>
              <a:latin typeface="Arial" panose="020B0604020202020204" pitchFamily="34" charset="0"/>
              <a:cs typeface="Arial" panose="020B0604020202020204" pitchFamily="34" charset="0"/>
            </a:rPr>
            <a:t> block height of 42.45mm.</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1820mm width of the Buggy is equivelent to </a:t>
          </a:r>
          <a:r>
            <a:rPr lang="en-GB" sz="1100" b="0" i="0" baseline="0">
              <a:effectLst/>
              <a:latin typeface="Arial" panose="020B0604020202020204" pitchFamily="34" charset="0"/>
              <a:ea typeface="+mn-ea"/>
              <a:cs typeface="Arial" panose="020B0604020202020204" pitchFamily="34" charset="0"/>
            </a:rPr>
            <a:t>44.4 blocks. equaling each </a:t>
          </a:r>
          <a:r>
            <a:rPr lang="en-GB" sz="1100" b="0" i="0" u="none" strike="noStrike" baseline="0">
              <a:solidFill>
                <a:srgbClr val="000000"/>
              </a:solidFill>
              <a:latin typeface="Arial" panose="020B0604020202020204" pitchFamily="34" charset="0"/>
              <a:cs typeface="Arial" panose="020B0604020202020204" pitchFamily="34" charset="0"/>
            </a:rPr>
            <a:t>block width of 40.99mm.</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Block area is equivelent to = 42.45x40.99 = 1740mm²</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wheel = 82 blocks </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of the buggy (not including wheel) =400.5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buggy with wheel = 482.5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Therefore whole buggy = 965 blocks (</a:t>
          </a:r>
          <a:r>
            <a:rPr lang="en-GB" sz="1100" b="0" i="0" baseline="0">
              <a:effectLst/>
              <a:latin typeface="Arial" panose="020B0604020202020204" pitchFamily="34" charset="0"/>
              <a:ea typeface="+mn-ea"/>
              <a:cs typeface="Arial" panose="020B0604020202020204" pitchFamily="34" charset="0"/>
            </a:rPr>
            <a:t>482.5 x 2)</a:t>
          </a: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965 Blocks x 1740mm²= 1659800mm² or 1.6598m² for the total frontal area of the Buggy.  </a:t>
          </a:r>
        </a:p>
        <a:p>
          <a:pPr algn="l" rtl="0">
            <a:defRPr sz="1000"/>
          </a:pPr>
          <a:endParaRPr lang="en-GB" sz="1000" b="0" i="0" u="none" strike="noStrike" baseline="0">
            <a:solidFill>
              <a:srgbClr val="000000"/>
            </a:solidFill>
            <a:latin typeface="+mn-lt"/>
            <a:cs typeface="Calibri"/>
          </a:endParaRP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xdr:txBody>
    </xdr:sp>
    <xdr:clientData/>
  </xdr:twoCellAnchor>
  <xdr:twoCellAnchor editAs="oneCell">
    <xdr:from>
      <xdr:col>5</xdr:col>
      <xdr:colOff>44821</xdr:colOff>
      <xdr:row>1</xdr:row>
      <xdr:rowOff>204985</xdr:rowOff>
    </xdr:from>
    <xdr:to>
      <xdr:col>5</xdr:col>
      <xdr:colOff>8786812</xdr:colOff>
      <xdr:row>23</xdr:row>
      <xdr:rowOff>222566</xdr:rowOff>
    </xdr:to>
    <xdr:pic>
      <xdr:nvPicPr>
        <xdr:cNvPr id="136" name="Picture 135" descr="Image result for rage comet r buggy">
          <a:extLst>
            <a:ext uri="{FF2B5EF4-FFF2-40B4-BE49-F238E27FC236}">
              <a16:creationId xmlns="" xmlns:a16="http://schemas.microsoft.com/office/drawing/2014/main" id="{00000000-0008-0000-0200-00008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6384" y="466923"/>
          <a:ext cx="8741991" cy="52563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68035</xdr:colOff>
      <xdr:row>1</xdr:row>
      <xdr:rowOff>123149</xdr:rowOff>
    </xdr:from>
    <xdr:to>
      <xdr:col>2</xdr:col>
      <xdr:colOff>8104908</xdr:colOff>
      <xdr:row>31</xdr:row>
      <xdr:rowOff>49791</xdr:rowOff>
    </xdr:to>
    <xdr:grpSp>
      <xdr:nvGrpSpPr>
        <xdr:cNvPr id="137" name="Group 136">
          <a:extLst>
            <a:ext uri="{FF2B5EF4-FFF2-40B4-BE49-F238E27FC236}">
              <a16:creationId xmlns="" xmlns:a16="http://schemas.microsoft.com/office/drawing/2014/main" id="{00000000-0008-0000-0200-000089000000}"/>
            </a:ext>
          </a:extLst>
        </xdr:cNvPr>
        <xdr:cNvGrpSpPr/>
      </xdr:nvGrpSpPr>
      <xdr:grpSpPr>
        <a:xfrm>
          <a:off x="3374571" y="381685"/>
          <a:ext cx="8036873" cy="7274499"/>
          <a:chOff x="4082143" y="517756"/>
          <a:chExt cx="7235598" cy="6907106"/>
        </a:xfrm>
      </xdr:grpSpPr>
      <xdr:grpSp>
        <xdr:nvGrpSpPr>
          <xdr:cNvPr id="138" name="Group 121">
            <a:extLst>
              <a:ext uri="{FF2B5EF4-FFF2-40B4-BE49-F238E27FC236}">
                <a16:creationId xmlns="" xmlns:a16="http://schemas.microsoft.com/office/drawing/2014/main" id="{00000000-0008-0000-0200-00008A000000}"/>
              </a:ext>
            </a:extLst>
          </xdr:cNvPr>
          <xdr:cNvGrpSpPr>
            <a:grpSpLocks/>
          </xdr:cNvGrpSpPr>
        </xdr:nvGrpSpPr>
        <xdr:grpSpPr bwMode="auto">
          <a:xfrm>
            <a:off x="4082143" y="517756"/>
            <a:ext cx="7235598" cy="6907106"/>
            <a:chOff x="1208161" y="1138165"/>
            <a:chExt cx="66553" cy="65081"/>
          </a:xfrm>
        </xdr:grpSpPr>
        <xdr:sp macro="" textlink="">
          <xdr:nvSpPr>
            <xdr:cNvPr id="140" name="Rectangle 235">
              <a:extLst>
                <a:ext uri="{FF2B5EF4-FFF2-40B4-BE49-F238E27FC236}">
                  <a16:creationId xmlns="" xmlns:a16="http://schemas.microsoft.com/office/drawing/2014/main" id="{00000000-0008-0000-0200-00008C000000}"/>
                </a:ext>
              </a:extLst>
            </xdr:cNvPr>
            <xdr:cNvSpPr>
              <a:spLocks noChangeArrowheads="1"/>
            </xdr:cNvSpPr>
          </xdr:nvSpPr>
          <xdr:spPr bwMode="auto">
            <a:xfrm>
              <a:off x="1208161" y="1138165"/>
              <a:ext cx="66553" cy="65081"/>
            </a:xfrm>
            <a:prstGeom prst="rect">
              <a:avLst/>
            </a:prstGeom>
            <a:solidFill>
              <a:srgbClr val="FFFFFF"/>
            </a:solidFill>
            <a:ln w="25400">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nvGrpSpPr>
            <xdr:cNvPr id="141" name="Group 122">
              <a:extLst>
                <a:ext uri="{FF2B5EF4-FFF2-40B4-BE49-F238E27FC236}">
                  <a16:creationId xmlns="" xmlns:a16="http://schemas.microsoft.com/office/drawing/2014/main" id="{00000000-0008-0000-0200-00008D000000}"/>
                </a:ext>
              </a:extLst>
            </xdr:cNvPr>
            <xdr:cNvGrpSpPr>
              <a:grpSpLocks/>
            </xdr:cNvGrpSpPr>
          </xdr:nvGrpSpPr>
          <xdr:grpSpPr bwMode="auto">
            <a:xfrm>
              <a:off x="1210244" y="1140816"/>
              <a:ext cx="63311" cy="60722"/>
              <a:chOff x="1205702" y="1141521"/>
              <a:chExt cx="63310" cy="60721"/>
            </a:xfrm>
          </xdr:grpSpPr>
          <xdr:grpSp>
            <xdr:nvGrpSpPr>
              <xdr:cNvPr id="142" name="Group 133">
                <a:extLst>
                  <a:ext uri="{FF2B5EF4-FFF2-40B4-BE49-F238E27FC236}">
                    <a16:creationId xmlns="" xmlns:a16="http://schemas.microsoft.com/office/drawing/2014/main" id="{00000000-0008-0000-0200-00008E000000}"/>
                  </a:ext>
                </a:extLst>
              </xdr:cNvPr>
              <xdr:cNvGrpSpPr>
                <a:grpSpLocks noChangeAspect="1"/>
              </xdr:cNvGrpSpPr>
            </xdr:nvGrpSpPr>
            <xdr:grpSpPr bwMode="auto">
              <a:xfrm>
                <a:off x="1205702" y="1141521"/>
                <a:ext cx="63307" cy="60721"/>
                <a:chOff x="1136185" y="1151158"/>
                <a:chExt cx="44209" cy="42404"/>
              </a:xfrm>
            </xdr:grpSpPr>
            <xdr:grpSp>
              <xdr:nvGrpSpPr>
                <xdr:cNvPr id="153" name="Group 160">
                  <a:extLst>
                    <a:ext uri="{FF2B5EF4-FFF2-40B4-BE49-F238E27FC236}">
                      <a16:creationId xmlns="" xmlns:a16="http://schemas.microsoft.com/office/drawing/2014/main" id="{00000000-0008-0000-0200-000099000000}"/>
                    </a:ext>
                  </a:extLst>
                </xdr:cNvPr>
                <xdr:cNvGrpSpPr>
                  <a:grpSpLocks noChangeAspect="1"/>
                </xdr:cNvGrpSpPr>
              </xdr:nvGrpSpPr>
              <xdr:grpSpPr bwMode="auto">
                <a:xfrm>
                  <a:off x="1136185" y="1151158"/>
                  <a:ext cx="44209" cy="42404"/>
                  <a:chOff x="1073558" y="1152056"/>
                  <a:chExt cx="44208" cy="42404"/>
                </a:xfrm>
              </xdr:grpSpPr>
              <xdr:grpSp>
                <xdr:nvGrpSpPr>
                  <xdr:cNvPr id="180" name="Group 182">
                    <a:extLst>
                      <a:ext uri="{FF2B5EF4-FFF2-40B4-BE49-F238E27FC236}">
                        <a16:creationId xmlns="" xmlns:a16="http://schemas.microsoft.com/office/drawing/2014/main" id="{00000000-0008-0000-0200-0000B4000000}"/>
                      </a:ext>
                    </a:extLst>
                  </xdr:cNvPr>
                  <xdr:cNvGrpSpPr>
                    <a:grpSpLocks noChangeAspect="1"/>
                  </xdr:cNvGrpSpPr>
                </xdr:nvGrpSpPr>
                <xdr:grpSpPr bwMode="auto">
                  <a:xfrm>
                    <a:off x="1076240" y="1152953"/>
                    <a:ext cx="41526" cy="40988"/>
                    <a:chOff x="1077795" y="1104147"/>
                    <a:chExt cx="41526" cy="40988"/>
                  </a:xfrm>
                </xdr:grpSpPr>
                <xdr:grpSp>
                  <xdr:nvGrpSpPr>
                    <xdr:cNvPr id="202" name="Group 184">
                      <a:extLst>
                        <a:ext uri="{FF2B5EF4-FFF2-40B4-BE49-F238E27FC236}">
                          <a16:creationId xmlns="" xmlns:a16="http://schemas.microsoft.com/office/drawing/2014/main" id="{00000000-0008-0000-0200-0000CA000000}"/>
                        </a:ext>
                      </a:extLst>
                    </xdr:cNvPr>
                    <xdr:cNvGrpSpPr>
                      <a:grpSpLocks noChangeAspect="1"/>
                    </xdr:cNvGrpSpPr>
                  </xdr:nvGrpSpPr>
                  <xdr:grpSpPr bwMode="auto">
                    <a:xfrm>
                      <a:off x="1077795" y="1104147"/>
                      <a:ext cx="41526" cy="40988"/>
                      <a:chOff x="1077795" y="1104147"/>
                      <a:chExt cx="41526" cy="40988"/>
                    </a:xfrm>
                  </xdr:grpSpPr>
                  <xdr:grpSp>
                    <xdr:nvGrpSpPr>
                      <xdr:cNvPr id="204" name="Group 201">
                        <a:extLst>
                          <a:ext uri="{FF2B5EF4-FFF2-40B4-BE49-F238E27FC236}">
                            <a16:creationId xmlns="" xmlns:a16="http://schemas.microsoft.com/office/drawing/2014/main" id="{00000000-0008-0000-0200-0000CC000000}"/>
                          </a:ext>
                        </a:extLst>
                      </xdr:cNvPr>
                      <xdr:cNvGrpSpPr>
                        <a:grpSpLocks noChangeAspect="1"/>
                      </xdr:cNvGrpSpPr>
                    </xdr:nvGrpSpPr>
                    <xdr:grpSpPr bwMode="auto">
                      <a:xfrm>
                        <a:off x="1077795" y="1104147"/>
                        <a:ext cx="41526" cy="40988"/>
                        <a:chOff x="1077843" y="1104147"/>
                        <a:chExt cx="41526" cy="40988"/>
                      </a:xfrm>
                    </xdr:grpSpPr>
                    <xdr:sp macro="" textlink="">
                      <xdr:nvSpPr>
                        <xdr:cNvPr id="221" name="Freeform 234">
                          <a:extLst>
                            <a:ext uri="{FF2B5EF4-FFF2-40B4-BE49-F238E27FC236}">
                              <a16:creationId xmlns="" xmlns:a16="http://schemas.microsoft.com/office/drawing/2014/main" id="{00000000-0008-0000-0200-0000DD000000}"/>
                            </a:ext>
                          </a:extLst>
                        </xdr:cNvPr>
                        <xdr:cNvSpPr>
                          <a:spLocks noChangeAspect="1"/>
                        </xdr:cNvSpPr>
                      </xdr:nvSpPr>
                      <xdr:spPr bwMode="auto">
                        <a:xfrm>
                          <a:off x="1084478" y="1105153"/>
                          <a:ext cx="27106" cy="38303"/>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2" name="AutoShape 233">
                          <a:extLst>
                            <a:ext uri="{FF2B5EF4-FFF2-40B4-BE49-F238E27FC236}">
                              <a16:creationId xmlns="" xmlns:a16="http://schemas.microsoft.com/office/drawing/2014/main" id="{00000000-0008-0000-0200-0000DE000000}"/>
                            </a:ext>
                          </a:extLst>
                        </xdr:cNvPr>
                        <xdr:cNvSpPr>
                          <a:spLocks noChangeAspect="1" noChangeShapeType="1"/>
                        </xdr:cNvSpPr>
                      </xdr:nvSpPr>
                      <xdr:spPr bwMode="auto">
                        <a:xfrm>
                          <a:off x="1077848" y="1104147"/>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3" name="AutoShape 232">
                          <a:extLst>
                            <a:ext uri="{FF2B5EF4-FFF2-40B4-BE49-F238E27FC236}">
                              <a16:creationId xmlns="" xmlns:a16="http://schemas.microsoft.com/office/drawing/2014/main" id="{00000000-0008-0000-0200-0000DF000000}"/>
                            </a:ext>
                          </a:extLst>
                        </xdr:cNvPr>
                        <xdr:cNvSpPr>
                          <a:spLocks noChangeAspect="1" noChangeShapeType="1"/>
                        </xdr:cNvSpPr>
                      </xdr:nvSpPr>
                      <xdr:spPr bwMode="auto">
                        <a:xfrm>
                          <a:off x="1077848" y="1106192"/>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4" name="AutoShape 231">
                          <a:extLst>
                            <a:ext uri="{FF2B5EF4-FFF2-40B4-BE49-F238E27FC236}">
                              <a16:creationId xmlns="" xmlns:a16="http://schemas.microsoft.com/office/drawing/2014/main" id="{00000000-0008-0000-0200-0000E0000000}"/>
                            </a:ext>
                          </a:extLst>
                        </xdr:cNvPr>
                        <xdr:cNvSpPr>
                          <a:spLocks noChangeAspect="1" noChangeShapeType="1"/>
                        </xdr:cNvSpPr>
                      </xdr:nvSpPr>
                      <xdr:spPr bwMode="auto">
                        <a:xfrm>
                          <a:off x="1077848" y="110823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5" name="AutoShape 230">
                          <a:extLst>
                            <a:ext uri="{FF2B5EF4-FFF2-40B4-BE49-F238E27FC236}">
                              <a16:creationId xmlns="" xmlns:a16="http://schemas.microsoft.com/office/drawing/2014/main" id="{00000000-0008-0000-0200-0000E1000000}"/>
                            </a:ext>
                          </a:extLst>
                        </xdr:cNvPr>
                        <xdr:cNvSpPr>
                          <a:spLocks noChangeAspect="1" noChangeShapeType="1"/>
                        </xdr:cNvSpPr>
                      </xdr:nvSpPr>
                      <xdr:spPr bwMode="auto">
                        <a:xfrm>
                          <a:off x="1077848" y="111028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6" name="AutoShape 229">
                          <a:extLst>
                            <a:ext uri="{FF2B5EF4-FFF2-40B4-BE49-F238E27FC236}">
                              <a16:creationId xmlns="" xmlns:a16="http://schemas.microsoft.com/office/drawing/2014/main" id="{00000000-0008-0000-0200-0000E2000000}"/>
                            </a:ext>
                          </a:extLst>
                        </xdr:cNvPr>
                        <xdr:cNvSpPr>
                          <a:spLocks noChangeAspect="1" noChangeShapeType="1"/>
                        </xdr:cNvSpPr>
                      </xdr:nvSpPr>
                      <xdr:spPr bwMode="auto">
                        <a:xfrm>
                          <a:off x="1077848" y="111232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7" name="AutoShape 228">
                          <a:extLst>
                            <a:ext uri="{FF2B5EF4-FFF2-40B4-BE49-F238E27FC236}">
                              <a16:creationId xmlns="" xmlns:a16="http://schemas.microsoft.com/office/drawing/2014/main" id="{00000000-0008-0000-0200-0000E3000000}"/>
                            </a:ext>
                          </a:extLst>
                        </xdr:cNvPr>
                        <xdr:cNvSpPr>
                          <a:spLocks noChangeAspect="1" noChangeShapeType="1"/>
                        </xdr:cNvSpPr>
                      </xdr:nvSpPr>
                      <xdr:spPr bwMode="auto">
                        <a:xfrm>
                          <a:off x="1077848" y="1114373"/>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8" name="AutoShape 227">
                          <a:extLst>
                            <a:ext uri="{FF2B5EF4-FFF2-40B4-BE49-F238E27FC236}">
                              <a16:creationId xmlns="" xmlns:a16="http://schemas.microsoft.com/office/drawing/2014/main" id="{00000000-0008-0000-0200-0000E4000000}"/>
                            </a:ext>
                          </a:extLst>
                        </xdr:cNvPr>
                        <xdr:cNvSpPr>
                          <a:spLocks noChangeAspect="1" noChangeShapeType="1"/>
                        </xdr:cNvSpPr>
                      </xdr:nvSpPr>
                      <xdr:spPr bwMode="auto">
                        <a:xfrm>
                          <a:off x="1077848" y="1116418"/>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9" name="AutoShape 226">
                          <a:extLst>
                            <a:ext uri="{FF2B5EF4-FFF2-40B4-BE49-F238E27FC236}">
                              <a16:creationId xmlns="" xmlns:a16="http://schemas.microsoft.com/office/drawing/2014/main" id="{00000000-0008-0000-0200-0000E5000000}"/>
                            </a:ext>
                          </a:extLst>
                        </xdr:cNvPr>
                        <xdr:cNvSpPr>
                          <a:spLocks noChangeAspect="1" noChangeShapeType="1"/>
                        </xdr:cNvSpPr>
                      </xdr:nvSpPr>
                      <xdr:spPr bwMode="auto">
                        <a:xfrm>
                          <a:off x="1077848" y="1118464"/>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0" name="AutoShape 225">
                          <a:extLst>
                            <a:ext uri="{FF2B5EF4-FFF2-40B4-BE49-F238E27FC236}">
                              <a16:creationId xmlns="" xmlns:a16="http://schemas.microsoft.com/office/drawing/2014/main" id="{00000000-0008-0000-0200-0000E6000000}"/>
                            </a:ext>
                          </a:extLst>
                        </xdr:cNvPr>
                        <xdr:cNvSpPr>
                          <a:spLocks noChangeAspect="1" noChangeShapeType="1"/>
                        </xdr:cNvSpPr>
                      </xdr:nvSpPr>
                      <xdr:spPr bwMode="auto">
                        <a:xfrm>
                          <a:off x="1077848" y="1120462"/>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1" name="AutoShape 224">
                          <a:extLst>
                            <a:ext uri="{FF2B5EF4-FFF2-40B4-BE49-F238E27FC236}">
                              <a16:creationId xmlns="" xmlns:a16="http://schemas.microsoft.com/office/drawing/2014/main" id="{00000000-0008-0000-0200-0000E7000000}"/>
                            </a:ext>
                          </a:extLst>
                        </xdr:cNvPr>
                        <xdr:cNvSpPr>
                          <a:spLocks noChangeAspect="1" noChangeShapeType="1"/>
                        </xdr:cNvSpPr>
                      </xdr:nvSpPr>
                      <xdr:spPr bwMode="auto">
                        <a:xfrm>
                          <a:off x="1077843" y="112250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2" name="AutoShape 223">
                          <a:extLst>
                            <a:ext uri="{FF2B5EF4-FFF2-40B4-BE49-F238E27FC236}">
                              <a16:creationId xmlns="" xmlns:a16="http://schemas.microsoft.com/office/drawing/2014/main" id="{00000000-0008-0000-0200-0000E8000000}"/>
                            </a:ext>
                          </a:extLst>
                        </xdr:cNvPr>
                        <xdr:cNvSpPr>
                          <a:spLocks noChangeAspect="1" noChangeShapeType="1"/>
                        </xdr:cNvSpPr>
                      </xdr:nvSpPr>
                      <xdr:spPr bwMode="auto">
                        <a:xfrm>
                          <a:off x="1077848" y="112455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3" name="AutoShape 222">
                          <a:extLst>
                            <a:ext uri="{FF2B5EF4-FFF2-40B4-BE49-F238E27FC236}">
                              <a16:creationId xmlns="" xmlns:a16="http://schemas.microsoft.com/office/drawing/2014/main" id="{00000000-0008-0000-0200-0000E9000000}"/>
                            </a:ext>
                          </a:extLst>
                        </xdr:cNvPr>
                        <xdr:cNvSpPr>
                          <a:spLocks noChangeAspect="1" noChangeShapeType="1"/>
                        </xdr:cNvSpPr>
                      </xdr:nvSpPr>
                      <xdr:spPr bwMode="auto">
                        <a:xfrm>
                          <a:off x="1077848" y="112659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4" name="AutoShape 221">
                          <a:extLst>
                            <a:ext uri="{FF2B5EF4-FFF2-40B4-BE49-F238E27FC236}">
                              <a16:creationId xmlns="" xmlns:a16="http://schemas.microsoft.com/office/drawing/2014/main" id="{00000000-0008-0000-0200-0000EA000000}"/>
                            </a:ext>
                          </a:extLst>
                        </xdr:cNvPr>
                        <xdr:cNvSpPr>
                          <a:spLocks noChangeAspect="1" noChangeShapeType="1"/>
                        </xdr:cNvSpPr>
                      </xdr:nvSpPr>
                      <xdr:spPr bwMode="auto">
                        <a:xfrm>
                          <a:off x="1077848" y="1128529"/>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5" name="AutoShape 220">
                          <a:extLst>
                            <a:ext uri="{FF2B5EF4-FFF2-40B4-BE49-F238E27FC236}">
                              <a16:creationId xmlns="" xmlns:a16="http://schemas.microsoft.com/office/drawing/2014/main" id="{00000000-0008-0000-0200-0000EB000000}"/>
                            </a:ext>
                          </a:extLst>
                        </xdr:cNvPr>
                        <xdr:cNvSpPr>
                          <a:spLocks noChangeAspect="1" noChangeShapeType="1"/>
                        </xdr:cNvSpPr>
                      </xdr:nvSpPr>
                      <xdr:spPr bwMode="auto">
                        <a:xfrm>
                          <a:off x="1077848" y="1130574"/>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6" name="AutoShape 219">
                          <a:extLst>
                            <a:ext uri="{FF2B5EF4-FFF2-40B4-BE49-F238E27FC236}">
                              <a16:creationId xmlns="" xmlns:a16="http://schemas.microsoft.com/office/drawing/2014/main" id="{00000000-0008-0000-0200-0000EC000000}"/>
                            </a:ext>
                          </a:extLst>
                        </xdr:cNvPr>
                        <xdr:cNvSpPr>
                          <a:spLocks noChangeAspect="1" noChangeShapeType="1"/>
                        </xdr:cNvSpPr>
                      </xdr:nvSpPr>
                      <xdr:spPr bwMode="auto">
                        <a:xfrm>
                          <a:off x="1077848" y="1132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7" name="AutoShape 218">
                          <a:extLst>
                            <a:ext uri="{FF2B5EF4-FFF2-40B4-BE49-F238E27FC236}">
                              <a16:creationId xmlns="" xmlns:a16="http://schemas.microsoft.com/office/drawing/2014/main" id="{00000000-0008-0000-0200-0000ED000000}"/>
                            </a:ext>
                          </a:extLst>
                        </xdr:cNvPr>
                        <xdr:cNvSpPr>
                          <a:spLocks noChangeAspect="1" noChangeShapeType="1"/>
                        </xdr:cNvSpPr>
                      </xdr:nvSpPr>
                      <xdr:spPr bwMode="auto">
                        <a:xfrm>
                          <a:off x="1077848" y="113466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8" name="AutoShape 217">
                          <a:extLst>
                            <a:ext uri="{FF2B5EF4-FFF2-40B4-BE49-F238E27FC236}">
                              <a16:creationId xmlns="" xmlns:a16="http://schemas.microsoft.com/office/drawing/2014/main" id="{00000000-0008-0000-0200-0000EE000000}"/>
                            </a:ext>
                          </a:extLst>
                        </xdr:cNvPr>
                        <xdr:cNvSpPr>
                          <a:spLocks noChangeAspect="1" noChangeShapeType="1"/>
                        </xdr:cNvSpPr>
                      </xdr:nvSpPr>
                      <xdr:spPr bwMode="auto">
                        <a:xfrm>
                          <a:off x="1077860" y="113657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9" name="AutoShape 216">
                          <a:extLst>
                            <a:ext uri="{FF2B5EF4-FFF2-40B4-BE49-F238E27FC236}">
                              <a16:creationId xmlns="" xmlns:a16="http://schemas.microsoft.com/office/drawing/2014/main" id="{00000000-0008-0000-0200-0000EF000000}"/>
                            </a:ext>
                          </a:extLst>
                        </xdr:cNvPr>
                        <xdr:cNvSpPr>
                          <a:spLocks noChangeAspect="1" noChangeShapeType="1"/>
                        </xdr:cNvSpPr>
                      </xdr:nvSpPr>
                      <xdr:spPr bwMode="auto">
                        <a:xfrm>
                          <a:off x="1077860" y="1138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0" name="AutoShape 215">
                          <a:extLst>
                            <a:ext uri="{FF2B5EF4-FFF2-40B4-BE49-F238E27FC236}">
                              <a16:creationId xmlns="" xmlns:a16="http://schemas.microsoft.com/office/drawing/2014/main" id="{00000000-0008-0000-0200-0000F0000000}"/>
                            </a:ext>
                          </a:extLst>
                        </xdr:cNvPr>
                        <xdr:cNvSpPr>
                          <a:spLocks noChangeAspect="1" noChangeShapeType="1"/>
                        </xdr:cNvSpPr>
                      </xdr:nvSpPr>
                      <xdr:spPr bwMode="auto">
                        <a:xfrm>
                          <a:off x="1077860" y="1140665"/>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1" name="AutoShape 214">
                          <a:extLst>
                            <a:ext uri="{FF2B5EF4-FFF2-40B4-BE49-F238E27FC236}">
                              <a16:creationId xmlns="" xmlns:a16="http://schemas.microsoft.com/office/drawing/2014/main" id="{00000000-0008-0000-0200-0000F1000000}"/>
                            </a:ext>
                          </a:extLst>
                        </xdr:cNvPr>
                        <xdr:cNvSpPr>
                          <a:spLocks noChangeAspect="1" noChangeShapeType="1"/>
                        </xdr:cNvSpPr>
                      </xdr:nvSpPr>
                      <xdr:spPr bwMode="auto">
                        <a:xfrm>
                          <a:off x="1077860" y="1142710"/>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2" name="AutoShape 213">
                          <a:extLst>
                            <a:ext uri="{FF2B5EF4-FFF2-40B4-BE49-F238E27FC236}">
                              <a16:creationId xmlns="" xmlns:a16="http://schemas.microsoft.com/office/drawing/2014/main" id="{00000000-0008-0000-0200-0000F2000000}"/>
                            </a:ext>
                          </a:extLst>
                        </xdr:cNvPr>
                        <xdr:cNvSpPr>
                          <a:spLocks noChangeAspect="1" noChangeShapeType="1"/>
                        </xdr:cNvSpPr>
                      </xdr:nvSpPr>
                      <xdr:spPr bwMode="auto">
                        <a:xfrm>
                          <a:off x="1077860" y="1144756"/>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3" name="AutoShape 212">
                          <a:extLst>
                            <a:ext uri="{FF2B5EF4-FFF2-40B4-BE49-F238E27FC236}">
                              <a16:creationId xmlns="" xmlns:a16="http://schemas.microsoft.com/office/drawing/2014/main" id="{00000000-0008-0000-0200-0000F3000000}"/>
                            </a:ext>
                          </a:extLst>
                        </xdr:cNvPr>
                        <xdr:cNvSpPr>
                          <a:spLocks noChangeAspect="1" noChangeShapeType="1"/>
                        </xdr:cNvSpPr>
                      </xdr:nvSpPr>
                      <xdr:spPr bwMode="auto">
                        <a:xfrm flipH="1">
                          <a:off x="1095767" y="1113950"/>
                          <a:ext cx="106" cy="3095"/>
                        </a:xfrm>
                        <a:prstGeom prst="straightConnector1">
                          <a:avLst/>
                        </a:prstGeom>
                        <a:noFill/>
                        <a:ln w="88900">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4" name="AutoShape 211">
                          <a:extLst>
                            <a:ext uri="{FF2B5EF4-FFF2-40B4-BE49-F238E27FC236}">
                              <a16:creationId xmlns="" xmlns:a16="http://schemas.microsoft.com/office/drawing/2014/main" id="{00000000-0008-0000-0200-0000F4000000}"/>
                            </a:ext>
                          </a:extLst>
                        </xdr:cNvPr>
                        <xdr:cNvSpPr>
                          <a:spLocks noChangeAspect="1" noChangeShapeType="1"/>
                        </xdr:cNvSpPr>
                      </xdr:nvSpPr>
                      <xdr:spPr bwMode="auto">
                        <a:xfrm flipV="1">
                          <a:off x="1098071" y="1120986"/>
                          <a:ext cx="668" cy="3130"/>
                        </a:xfrm>
                        <a:prstGeom prst="straightConnector1">
                          <a:avLst/>
                        </a:prstGeom>
                        <a:noFill/>
                        <a:ln w="88900">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5" name="AutoShape 210">
                          <a:extLst>
                            <a:ext uri="{FF2B5EF4-FFF2-40B4-BE49-F238E27FC236}">
                              <a16:creationId xmlns="" xmlns:a16="http://schemas.microsoft.com/office/drawing/2014/main" id="{00000000-0008-0000-0200-0000F5000000}"/>
                            </a:ext>
                          </a:extLst>
                        </xdr:cNvPr>
                        <xdr:cNvSpPr>
                          <a:spLocks noChangeAspect="1" noChangeShapeType="1"/>
                        </xdr:cNvSpPr>
                      </xdr:nvSpPr>
                      <xdr:spPr bwMode="auto">
                        <a:xfrm flipV="1">
                          <a:off x="1105193" y="1128635"/>
                          <a:ext cx="281" cy="5170"/>
                        </a:xfrm>
                        <a:prstGeom prst="straightConnector1">
                          <a:avLst/>
                        </a:prstGeom>
                        <a:noFill/>
                        <a:ln w="88900">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6" name="AutoShape 209">
                          <a:extLst>
                            <a:ext uri="{FF2B5EF4-FFF2-40B4-BE49-F238E27FC236}">
                              <a16:creationId xmlns="" xmlns:a16="http://schemas.microsoft.com/office/drawing/2014/main" id="{00000000-0008-0000-0200-0000F6000000}"/>
                            </a:ext>
                          </a:extLst>
                        </xdr:cNvPr>
                        <xdr:cNvSpPr>
                          <a:spLocks noChangeAspect="1" noChangeShapeType="1"/>
                        </xdr:cNvSpPr>
                      </xdr:nvSpPr>
                      <xdr:spPr bwMode="auto">
                        <a:xfrm flipV="1">
                          <a:off x="1083193" y="1128529"/>
                          <a:ext cx="2799" cy="2"/>
                        </a:xfrm>
                        <a:prstGeom prst="straightConnector1">
                          <a:avLst/>
                        </a:prstGeom>
                        <a:noFill/>
                        <a:ln w="31750">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7" name="AutoShape 208">
                          <a:extLst>
                            <a:ext uri="{FF2B5EF4-FFF2-40B4-BE49-F238E27FC236}">
                              <a16:creationId xmlns="" xmlns:a16="http://schemas.microsoft.com/office/drawing/2014/main" id="{00000000-0008-0000-0200-0000F7000000}"/>
                            </a:ext>
                          </a:extLst>
                        </xdr:cNvPr>
                        <xdr:cNvSpPr>
                          <a:spLocks noChangeAspect="1" noChangeShapeType="1"/>
                        </xdr:cNvSpPr>
                      </xdr:nvSpPr>
                      <xdr:spPr bwMode="auto">
                        <a:xfrm flipH="1">
                          <a:off x="1095725" y="11170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8" name="AutoShape 207">
                          <a:extLst>
                            <a:ext uri="{FF2B5EF4-FFF2-40B4-BE49-F238E27FC236}">
                              <a16:creationId xmlns="" xmlns:a16="http://schemas.microsoft.com/office/drawing/2014/main" id="{00000000-0008-0000-0200-0000F8000000}"/>
                            </a:ext>
                          </a:extLst>
                        </xdr:cNvPr>
                        <xdr:cNvSpPr>
                          <a:spLocks noChangeAspect="1" noChangeShapeType="1"/>
                        </xdr:cNvSpPr>
                      </xdr:nvSpPr>
                      <xdr:spPr bwMode="auto">
                        <a:xfrm flipH="1">
                          <a:off x="1095767" y="111544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9" name="AutoShape 206">
                          <a:extLst>
                            <a:ext uri="{FF2B5EF4-FFF2-40B4-BE49-F238E27FC236}">
                              <a16:creationId xmlns="" xmlns:a16="http://schemas.microsoft.com/office/drawing/2014/main" id="{00000000-0008-0000-0200-0000F9000000}"/>
                            </a:ext>
                          </a:extLst>
                        </xdr:cNvPr>
                        <xdr:cNvSpPr>
                          <a:spLocks noChangeAspect="1" noChangeShapeType="1"/>
                        </xdr:cNvSpPr>
                      </xdr:nvSpPr>
                      <xdr:spPr bwMode="auto">
                        <a:xfrm flipH="1">
                          <a:off x="1095767" y="1113937"/>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50" name="AutoShape 205">
                          <a:extLst>
                            <a:ext uri="{FF2B5EF4-FFF2-40B4-BE49-F238E27FC236}">
                              <a16:creationId xmlns="" xmlns:a16="http://schemas.microsoft.com/office/drawing/2014/main" id="{00000000-0008-0000-0200-0000FA000000}"/>
                            </a:ext>
                          </a:extLst>
                        </xdr:cNvPr>
                        <xdr:cNvSpPr>
                          <a:spLocks noChangeAspect="1" noChangeShapeType="1"/>
                        </xdr:cNvSpPr>
                      </xdr:nvSpPr>
                      <xdr:spPr bwMode="auto">
                        <a:xfrm flipH="1">
                          <a:off x="1096319" y="1112707"/>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51" name="AutoShape 204">
                          <a:extLst>
                            <a:ext uri="{FF2B5EF4-FFF2-40B4-BE49-F238E27FC236}">
                              <a16:creationId xmlns="" xmlns:a16="http://schemas.microsoft.com/office/drawing/2014/main" id="{00000000-0008-0000-0200-0000FB000000}"/>
                            </a:ext>
                          </a:extLst>
                        </xdr:cNvPr>
                        <xdr:cNvSpPr>
                          <a:spLocks noChangeAspect="1" noChangeShapeType="1"/>
                        </xdr:cNvSpPr>
                      </xdr:nvSpPr>
                      <xdr:spPr bwMode="auto">
                        <a:xfrm flipH="1">
                          <a:off x="1098908" y="1111142"/>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52" name="AutoShape 203">
                          <a:extLst>
                            <a:ext uri="{FF2B5EF4-FFF2-40B4-BE49-F238E27FC236}">
                              <a16:creationId xmlns="" xmlns:a16="http://schemas.microsoft.com/office/drawing/2014/main" id="{00000000-0008-0000-0200-0000FC000000}"/>
                            </a:ext>
                          </a:extLst>
                        </xdr:cNvPr>
                        <xdr:cNvSpPr>
                          <a:spLocks noChangeAspect="1" noChangeShapeType="1"/>
                        </xdr:cNvSpPr>
                      </xdr:nvSpPr>
                      <xdr:spPr bwMode="auto">
                        <a:xfrm flipH="1">
                          <a:off x="1096110" y="110529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53" name="AutoShape 202">
                          <a:extLst>
                            <a:ext uri="{FF2B5EF4-FFF2-40B4-BE49-F238E27FC236}">
                              <a16:creationId xmlns="" xmlns:a16="http://schemas.microsoft.com/office/drawing/2014/main" id="{00000000-0008-0000-0200-0000FD000000}"/>
                            </a:ext>
                          </a:extLst>
                        </xdr:cNvPr>
                        <xdr:cNvSpPr>
                          <a:spLocks noChangeAspect="1" noChangeShapeType="1"/>
                        </xdr:cNvSpPr>
                      </xdr:nvSpPr>
                      <xdr:spPr bwMode="auto">
                        <a:xfrm flipH="1">
                          <a:off x="1084879" y="111501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205" name="AutoShape 200">
                        <a:extLst>
                          <a:ext uri="{FF2B5EF4-FFF2-40B4-BE49-F238E27FC236}">
                            <a16:creationId xmlns="" xmlns:a16="http://schemas.microsoft.com/office/drawing/2014/main" id="{00000000-0008-0000-0200-0000CD000000}"/>
                          </a:ext>
                        </a:extLst>
                      </xdr:cNvPr>
                      <xdr:cNvSpPr>
                        <a:spLocks noChangeAspect="1" noChangeShapeType="1"/>
                      </xdr:cNvSpPr>
                    </xdr:nvSpPr>
                    <xdr:spPr bwMode="auto">
                      <a:xfrm flipH="1">
                        <a:off x="1096670" y="114018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06" name="AutoShape 199">
                        <a:extLst>
                          <a:ext uri="{FF2B5EF4-FFF2-40B4-BE49-F238E27FC236}">
                            <a16:creationId xmlns="" xmlns:a16="http://schemas.microsoft.com/office/drawing/2014/main" id="{00000000-0008-0000-0200-0000CE000000}"/>
                          </a:ext>
                        </a:extLst>
                      </xdr:cNvPr>
                      <xdr:cNvSpPr>
                        <a:spLocks noChangeAspect="1" noChangeShapeType="1"/>
                      </xdr:cNvSpPr>
                    </xdr:nvSpPr>
                    <xdr:spPr bwMode="auto">
                      <a:xfrm flipH="1">
                        <a:off x="1096110" y="113391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07" name="AutoShape 198">
                        <a:extLst>
                          <a:ext uri="{FF2B5EF4-FFF2-40B4-BE49-F238E27FC236}">
                            <a16:creationId xmlns="" xmlns:a16="http://schemas.microsoft.com/office/drawing/2014/main" id="{00000000-0008-0000-0200-0000CF000000}"/>
                          </a:ext>
                        </a:extLst>
                      </xdr:cNvPr>
                      <xdr:cNvSpPr>
                        <a:spLocks noChangeAspect="1" noChangeShapeType="1"/>
                      </xdr:cNvSpPr>
                    </xdr:nvSpPr>
                    <xdr:spPr bwMode="auto">
                      <a:xfrm flipH="1">
                        <a:off x="1093691" y="1140208"/>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08" name="AutoShape 197">
                        <a:extLst>
                          <a:ext uri="{FF2B5EF4-FFF2-40B4-BE49-F238E27FC236}">
                            <a16:creationId xmlns="" xmlns:a16="http://schemas.microsoft.com/office/drawing/2014/main" id="{00000000-0008-0000-0200-0000D0000000}"/>
                          </a:ext>
                        </a:extLst>
                      </xdr:cNvPr>
                      <xdr:cNvSpPr>
                        <a:spLocks noChangeAspect="1" noChangeShapeType="1"/>
                      </xdr:cNvSpPr>
                    </xdr:nvSpPr>
                    <xdr:spPr bwMode="auto">
                      <a:xfrm flipH="1">
                        <a:off x="1097196" y="112670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09" name="AutoShape 196">
                        <a:extLst>
                          <a:ext uri="{FF2B5EF4-FFF2-40B4-BE49-F238E27FC236}">
                            <a16:creationId xmlns="" xmlns:a16="http://schemas.microsoft.com/office/drawing/2014/main" id="{00000000-0008-0000-0200-0000D1000000}"/>
                          </a:ext>
                        </a:extLst>
                      </xdr:cNvPr>
                      <xdr:cNvSpPr>
                        <a:spLocks noChangeAspect="1" noChangeShapeType="1"/>
                      </xdr:cNvSpPr>
                    </xdr:nvSpPr>
                    <xdr:spPr bwMode="auto">
                      <a:xfrm flipH="1">
                        <a:off x="1097980" y="112409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0" name="AutoShape 195">
                        <a:extLst>
                          <a:ext uri="{FF2B5EF4-FFF2-40B4-BE49-F238E27FC236}">
                            <a16:creationId xmlns="" xmlns:a16="http://schemas.microsoft.com/office/drawing/2014/main" id="{00000000-0008-0000-0200-0000D2000000}"/>
                          </a:ext>
                        </a:extLst>
                      </xdr:cNvPr>
                      <xdr:cNvSpPr>
                        <a:spLocks noChangeAspect="1" noChangeShapeType="1"/>
                      </xdr:cNvSpPr>
                    </xdr:nvSpPr>
                    <xdr:spPr bwMode="auto">
                      <a:xfrm flipH="1">
                        <a:off x="1098314" y="1122578"/>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1" name="AutoShape 194">
                        <a:extLst>
                          <a:ext uri="{FF2B5EF4-FFF2-40B4-BE49-F238E27FC236}">
                            <a16:creationId xmlns="" xmlns:a16="http://schemas.microsoft.com/office/drawing/2014/main" id="{00000000-0008-0000-0200-0000D3000000}"/>
                          </a:ext>
                        </a:extLst>
                      </xdr:cNvPr>
                      <xdr:cNvSpPr>
                        <a:spLocks noChangeAspect="1" noChangeShapeType="1"/>
                      </xdr:cNvSpPr>
                    </xdr:nvSpPr>
                    <xdr:spPr bwMode="auto">
                      <a:xfrm flipH="1">
                        <a:off x="1098607" y="1120841"/>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2" name="AutoShape 193">
                        <a:extLst>
                          <a:ext uri="{FF2B5EF4-FFF2-40B4-BE49-F238E27FC236}">
                            <a16:creationId xmlns="" xmlns:a16="http://schemas.microsoft.com/office/drawing/2014/main" id="{00000000-0008-0000-0200-0000D4000000}"/>
                          </a:ext>
                        </a:extLst>
                      </xdr:cNvPr>
                      <xdr:cNvSpPr>
                        <a:spLocks noChangeAspect="1" noChangeShapeType="1"/>
                      </xdr:cNvSpPr>
                    </xdr:nvSpPr>
                    <xdr:spPr bwMode="auto">
                      <a:xfrm flipH="1">
                        <a:off x="1103597" y="1109065"/>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3" name="AutoShape 192">
                        <a:extLst>
                          <a:ext uri="{FF2B5EF4-FFF2-40B4-BE49-F238E27FC236}">
                            <a16:creationId xmlns="" xmlns:a16="http://schemas.microsoft.com/office/drawing/2014/main" id="{00000000-0008-0000-0200-0000D5000000}"/>
                          </a:ext>
                        </a:extLst>
                      </xdr:cNvPr>
                      <xdr:cNvSpPr>
                        <a:spLocks noChangeAspect="1" noChangeShapeType="1"/>
                      </xdr:cNvSpPr>
                    </xdr:nvSpPr>
                    <xdr:spPr bwMode="auto">
                      <a:xfrm flipH="1">
                        <a:off x="1111078" y="111125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4" name="AutoShape 191">
                        <a:extLst>
                          <a:ext uri="{FF2B5EF4-FFF2-40B4-BE49-F238E27FC236}">
                            <a16:creationId xmlns="" xmlns:a16="http://schemas.microsoft.com/office/drawing/2014/main" id="{00000000-0008-0000-0200-0000D6000000}"/>
                          </a:ext>
                        </a:extLst>
                      </xdr:cNvPr>
                      <xdr:cNvSpPr>
                        <a:spLocks noChangeAspect="1" noChangeShapeType="1"/>
                      </xdr:cNvSpPr>
                    </xdr:nvSpPr>
                    <xdr:spPr bwMode="auto">
                      <a:xfrm flipH="1">
                        <a:off x="1106220" y="111612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5" name="AutoShape 190">
                        <a:extLst>
                          <a:ext uri="{FF2B5EF4-FFF2-40B4-BE49-F238E27FC236}">
                            <a16:creationId xmlns="" xmlns:a16="http://schemas.microsoft.com/office/drawing/2014/main" id="{00000000-0008-0000-0200-0000D7000000}"/>
                          </a:ext>
                        </a:extLst>
                      </xdr:cNvPr>
                      <xdr:cNvSpPr>
                        <a:spLocks noChangeAspect="1" noChangeShapeType="1"/>
                      </xdr:cNvSpPr>
                    </xdr:nvSpPr>
                    <xdr:spPr bwMode="auto">
                      <a:xfrm flipH="1">
                        <a:off x="1105393" y="1125976"/>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6" name="AutoShape 189">
                        <a:extLst>
                          <a:ext uri="{FF2B5EF4-FFF2-40B4-BE49-F238E27FC236}">
                            <a16:creationId xmlns="" xmlns:a16="http://schemas.microsoft.com/office/drawing/2014/main" id="{00000000-0008-0000-0200-0000D8000000}"/>
                          </a:ext>
                        </a:extLst>
                      </xdr:cNvPr>
                      <xdr:cNvSpPr>
                        <a:spLocks noChangeAspect="1" noChangeShapeType="1"/>
                      </xdr:cNvSpPr>
                    </xdr:nvSpPr>
                    <xdr:spPr bwMode="auto">
                      <a:xfrm flipH="1">
                        <a:off x="1105374" y="1128529"/>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7" name="AutoShape 188">
                        <a:extLst>
                          <a:ext uri="{FF2B5EF4-FFF2-40B4-BE49-F238E27FC236}">
                            <a16:creationId xmlns="" xmlns:a16="http://schemas.microsoft.com/office/drawing/2014/main" id="{00000000-0008-0000-0200-0000D9000000}"/>
                          </a:ext>
                        </a:extLst>
                      </xdr:cNvPr>
                      <xdr:cNvSpPr>
                        <a:spLocks noChangeAspect="1" noChangeShapeType="1"/>
                      </xdr:cNvSpPr>
                    </xdr:nvSpPr>
                    <xdr:spPr bwMode="auto">
                      <a:xfrm flipH="1">
                        <a:off x="1105231" y="1131082"/>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8" name="AutoShape 187">
                        <a:extLst>
                          <a:ext uri="{FF2B5EF4-FFF2-40B4-BE49-F238E27FC236}">
                            <a16:creationId xmlns="" xmlns:a16="http://schemas.microsoft.com/office/drawing/2014/main" id="{00000000-0008-0000-0200-0000DA000000}"/>
                          </a:ext>
                        </a:extLst>
                      </xdr:cNvPr>
                      <xdr:cNvSpPr>
                        <a:spLocks noChangeAspect="1" noChangeShapeType="1"/>
                      </xdr:cNvSpPr>
                    </xdr:nvSpPr>
                    <xdr:spPr bwMode="auto">
                      <a:xfrm flipH="1">
                        <a:off x="1105060" y="113377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19" name="AutoShape 186">
                        <a:extLst>
                          <a:ext uri="{FF2B5EF4-FFF2-40B4-BE49-F238E27FC236}">
                            <a16:creationId xmlns="" xmlns:a16="http://schemas.microsoft.com/office/drawing/2014/main" id="{00000000-0008-0000-0200-0000DB000000}"/>
                          </a:ext>
                        </a:extLst>
                      </xdr:cNvPr>
                      <xdr:cNvSpPr>
                        <a:spLocks noChangeAspect="1" noChangeShapeType="1"/>
                      </xdr:cNvSpPr>
                    </xdr:nvSpPr>
                    <xdr:spPr bwMode="auto">
                      <a:xfrm flipH="1">
                        <a:off x="1102969" y="11395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20" name="AutoShape 185">
                        <a:extLst>
                          <a:ext uri="{FF2B5EF4-FFF2-40B4-BE49-F238E27FC236}">
                            <a16:creationId xmlns="" xmlns:a16="http://schemas.microsoft.com/office/drawing/2014/main" id="{00000000-0008-0000-0200-0000DC000000}"/>
                          </a:ext>
                        </a:extLst>
                      </xdr:cNvPr>
                      <xdr:cNvSpPr>
                        <a:spLocks noChangeAspect="1" noChangeShapeType="1"/>
                      </xdr:cNvSpPr>
                    </xdr:nvSpPr>
                    <xdr:spPr bwMode="auto">
                      <a:xfrm flipH="1">
                        <a:off x="1096739" y="1143242"/>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203" name="AutoShape 183">
                      <a:extLst>
                        <a:ext uri="{FF2B5EF4-FFF2-40B4-BE49-F238E27FC236}">
                          <a16:creationId xmlns="" xmlns:a16="http://schemas.microsoft.com/office/drawing/2014/main" id="{00000000-0008-0000-0200-0000CB000000}"/>
                        </a:ext>
                      </a:extLst>
                    </xdr:cNvPr>
                    <xdr:cNvSpPr>
                      <a:spLocks noChangeAspect="1" noChangeShapeType="1"/>
                    </xdr:cNvSpPr>
                  </xdr:nvSpPr>
                  <xdr:spPr bwMode="auto">
                    <a:xfrm flipV="1">
                      <a:off x="1085943" y="1120841"/>
                      <a:ext cx="0" cy="7193"/>
                    </a:xfrm>
                    <a:prstGeom prst="straightConnector1">
                      <a:avLst/>
                    </a:prstGeom>
                    <a:noFill/>
                    <a:ln w="25400">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181" name="Text Box 181">
                    <a:extLst>
                      <a:ext uri="{FF2B5EF4-FFF2-40B4-BE49-F238E27FC236}">
                        <a16:creationId xmlns="" xmlns:a16="http://schemas.microsoft.com/office/drawing/2014/main" id="{00000000-0008-0000-0200-0000B5000000}"/>
                      </a:ext>
                    </a:extLst>
                  </xdr:cNvPr>
                  <xdr:cNvSpPr txBox="1">
                    <a:spLocks noChangeAspect="1" noChangeArrowheads="1"/>
                  </xdr:cNvSpPr>
                </xdr:nvSpPr>
                <xdr:spPr bwMode="auto">
                  <a:xfrm>
                    <a:off x="1073558" y="1172296"/>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xdr:txBody>
              </xdr:sp>
              <xdr:sp macro="" textlink="">
                <xdr:nvSpPr>
                  <xdr:cNvPr id="182" name="Text Box 180">
                    <a:extLst>
                      <a:ext uri="{FF2B5EF4-FFF2-40B4-BE49-F238E27FC236}">
                        <a16:creationId xmlns="" xmlns:a16="http://schemas.microsoft.com/office/drawing/2014/main" id="{00000000-0008-0000-0200-0000B6000000}"/>
                      </a:ext>
                    </a:extLst>
                  </xdr:cNvPr>
                  <xdr:cNvSpPr txBox="1">
                    <a:spLocks noChangeAspect="1" noChangeArrowheads="1"/>
                  </xdr:cNvSpPr>
                </xdr:nvSpPr>
                <xdr:spPr bwMode="auto">
                  <a:xfrm>
                    <a:off x="1073870" y="1174333"/>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xdr:txBody>
              </xdr:sp>
              <xdr:sp macro="" textlink="">
                <xdr:nvSpPr>
                  <xdr:cNvPr id="183" name="Text Box 179">
                    <a:extLst>
                      <a:ext uri="{FF2B5EF4-FFF2-40B4-BE49-F238E27FC236}">
                        <a16:creationId xmlns="" xmlns:a16="http://schemas.microsoft.com/office/drawing/2014/main" id="{00000000-0008-0000-0200-0000B7000000}"/>
                      </a:ext>
                    </a:extLst>
                  </xdr:cNvPr>
                  <xdr:cNvSpPr txBox="1">
                    <a:spLocks noChangeAspect="1" noChangeArrowheads="1"/>
                  </xdr:cNvSpPr>
                </xdr:nvSpPr>
                <xdr:spPr bwMode="auto">
                  <a:xfrm>
                    <a:off x="1073870" y="1176370"/>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xdr:txBody>
              </xdr:sp>
              <xdr:sp macro="" textlink="">
                <xdr:nvSpPr>
                  <xdr:cNvPr id="184" name="Text Box 178">
                    <a:extLst>
                      <a:ext uri="{FF2B5EF4-FFF2-40B4-BE49-F238E27FC236}">
                        <a16:creationId xmlns="" xmlns:a16="http://schemas.microsoft.com/office/drawing/2014/main" id="{00000000-0008-0000-0200-0000B8000000}"/>
                      </a:ext>
                    </a:extLst>
                  </xdr:cNvPr>
                  <xdr:cNvSpPr txBox="1">
                    <a:spLocks noChangeAspect="1" noChangeArrowheads="1"/>
                  </xdr:cNvSpPr>
                </xdr:nvSpPr>
                <xdr:spPr bwMode="auto">
                  <a:xfrm>
                    <a:off x="1073870" y="117840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xdr:txBody>
              </xdr:sp>
              <xdr:sp macro="" textlink="">
                <xdr:nvSpPr>
                  <xdr:cNvPr id="185" name="Text Box 177">
                    <a:extLst>
                      <a:ext uri="{FF2B5EF4-FFF2-40B4-BE49-F238E27FC236}">
                        <a16:creationId xmlns="" xmlns:a16="http://schemas.microsoft.com/office/drawing/2014/main" id="{00000000-0008-0000-0200-0000B9000000}"/>
                      </a:ext>
                    </a:extLst>
                  </xdr:cNvPr>
                  <xdr:cNvSpPr txBox="1">
                    <a:spLocks noChangeAspect="1" noChangeArrowheads="1"/>
                  </xdr:cNvSpPr>
                </xdr:nvSpPr>
                <xdr:spPr bwMode="auto">
                  <a:xfrm>
                    <a:off x="1073870" y="118044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xdr:txBody>
              </xdr:sp>
              <xdr:sp macro="" textlink="">
                <xdr:nvSpPr>
                  <xdr:cNvPr id="186" name="Text Box 176">
                    <a:extLst>
                      <a:ext uri="{FF2B5EF4-FFF2-40B4-BE49-F238E27FC236}">
                        <a16:creationId xmlns="" xmlns:a16="http://schemas.microsoft.com/office/drawing/2014/main" id="{00000000-0008-0000-0200-0000BA000000}"/>
                      </a:ext>
                    </a:extLst>
                  </xdr:cNvPr>
                  <xdr:cNvSpPr txBox="1">
                    <a:spLocks noChangeAspect="1" noChangeArrowheads="1"/>
                  </xdr:cNvSpPr>
                </xdr:nvSpPr>
                <xdr:spPr bwMode="auto">
                  <a:xfrm>
                    <a:off x="1073870" y="1182480"/>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xdr:txBody>
              </xdr:sp>
              <xdr:sp macro="" textlink="">
                <xdr:nvSpPr>
                  <xdr:cNvPr id="187" name="Text Box 175">
                    <a:extLst>
                      <a:ext uri="{FF2B5EF4-FFF2-40B4-BE49-F238E27FC236}">
                        <a16:creationId xmlns="" xmlns:a16="http://schemas.microsoft.com/office/drawing/2014/main" id="{00000000-0008-0000-0200-0000BB000000}"/>
                      </a:ext>
                    </a:extLst>
                  </xdr:cNvPr>
                  <xdr:cNvSpPr txBox="1">
                    <a:spLocks noChangeAspect="1" noChangeArrowheads="1"/>
                  </xdr:cNvSpPr>
                </xdr:nvSpPr>
                <xdr:spPr bwMode="auto">
                  <a:xfrm>
                    <a:off x="1073870" y="118451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xdr:txBody>
              </xdr:sp>
              <xdr:sp macro="" textlink="">
                <xdr:nvSpPr>
                  <xdr:cNvPr id="188" name="Text Box 174">
                    <a:extLst>
                      <a:ext uri="{FF2B5EF4-FFF2-40B4-BE49-F238E27FC236}">
                        <a16:creationId xmlns="" xmlns:a16="http://schemas.microsoft.com/office/drawing/2014/main" id="{00000000-0008-0000-0200-0000BC000000}"/>
                      </a:ext>
                    </a:extLst>
                  </xdr:cNvPr>
                  <xdr:cNvSpPr txBox="1">
                    <a:spLocks noChangeAspect="1" noChangeArrowheads="1"/>
                  </xdr:cNvSpPr>
                </xdr:nvSpPr>
                <xdr:spPr bwMode="auto">
                  <a:xfrm>
                    <a:off x="1073870" y="118655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xdr:txBody>
              </xdr:sp>
              <xdr:sp macro="" textlink="">
                <xdr:nvSpPr>
                  <xdr:cNvPr id="189" name="Text Box 173">
                    <a:extLst>
                      <a:ext uri="{FF2B5EF4-FFF2-40B4-BE49-F238E27FC236}">
                        <a16:creationId xmlns="" xmlns:a16="http://schemas.microsoft.com/office/drawing/2014/main" id="{00000000-0008-0000-0200-0000BD000000}"/>
                      </a:ext>
                    </a:extLst>
                  </xdr:cNvPr>
                  <xdr:cNvSpPr txBox="1">
                    <a:spLocks noChangeAspect="1" noChangeArrowheads="1"/>
                  </xdr:cNvSpPr>
                </xdr:nvSpPr>
                <xdr:spPr bwMode="auto">
                  <a:xfrm>
                    <a:off x="1073870" y="1188591"/>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xdr:txBody>
              </xdr:sp>
              <xdr:sp macro="" textlink="">
                <xdr:nvSpPr>
                  <xdr:cNvPr id="190" name="Text Box 172">
                    <a:extLst>
                      <a:ext uri="{FF2B5EF4-FFF2-40B4-BE49-F238E27FC236}">
                        <a16:creationId xmlns="" xmlns:a16="http://schemas.microsoft.com/office/drawing/2014/main" id="{00000000-0008-0000-0200-0000BE000000}"/>
                      </a:ext>
                    </a:extLst>
                  </xdr:cNvPr>
                  <xdr:cNvSpPr txBox="1">
                    <a:spLocks noChangeAspect="1" noChangeArrowheads="1"/>
                  </xdr:cNvSpPr>
                </xdr:nvSpPr>
                <xdr:spPr bwMode="auto">
                  <a:xfrm>
                    <a:off x="1073870" y="1190627"/>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xdr:txBody>
              </xdr:sp>
              <xdr:sp macro="" textlink="">
                <xdr:nvSpPr>
                  <xdr:cNvPr id="191" name="Text Box 171">
                    <a:extLst>
                      <a:ext uri="{FF2B5EF4-FFF2-40B4-BE49-F238E27FC236}">
                        <a16:creationId xmlns="" xmlns:a16="http://schemas.microsoft.com/office/drawing/2014/main" id="{00000000-0008-0000-0200-0000BF000000}"/>
                      </a:ext>
                    </a:extLst>
                  </xdr:cNvPr>
                  <xdr:cNvSpPr txBox="1">
                    <a:spLocks noChangeAspect="1" noChangeArrowheads="1"/>
                  </xdr:cNvSpPr>
                </xdr:nvSpPr>
                <xdr:spPr bwMode="auto">
                  <a:xfrm>
                    <a:off x="1073870" y="1192664"/>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xdr:txBody>
              </xdr:sp>
              <xdr:sp macro="" textlink="">
                <xdr:nvSpPr>
                  <xdr:cNvPr id="192" name="Text Box 170">
                    <a:extLst>
                      <a:ext uri="{FF2B5EF4-FFF2-40B4-BE49-F238E27FC236}">
                        <a16:creationId xmlns="" xmlns:a16="http://schemas.microsoft.com/office/drawing/2014/main" id="{00000000-0008-0000-0200-0000C0000000}"/>
                      </a:ext>
                    </a:extLst>
                  </xdr:cNvPr>
                  <xdr:cNvSpPr txBox="1">
                    <a:spLocks noChangeAspect="1" noChangeArrowheads="1"/>
                  </xdr:cNvSpPr>
                </xdr:nvSpPr>
                <xdr:spPr bwMode="auto">
                  <a:xfrm>
                    <a:off x="1073558" y="1152056"/>
                    <a:ext cx="2545" cy="1668"/>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xdr:txBody>
              </xdr:sp>
              <xdr:sp macro="" textlink="">
                <xdr:nvSpPr>
                  <xdr:cNvPr id="193" name="Text Box 169">
                    <a:extLst>
                      <a:ext uri="{FF2B5EF4-FFF2-40B4-BE49-F238E27FC236}">
                        <a16:creationId xmlns="" xmlns:a16="http://schemas.microsoft.com/office/drawing/2014/main" id="{00000000-0008-0000-0200-0000C1000000}"/>
                      </a:ext>
                    </a:extLst>
                  </xdr:cNvPr>
                  <xdr:cNvSpPr txBox="1">
                    <a:spLocks noChangeAspect="1" noChangeArrowheads="1"/>
                  </xdr:cNvSpPr>
                </xdr:nvSpPr>
                <xdr:spPr bwMode="auto">
                  <a:xfrm>
                    <a:off x="1073558" y="1153965"/>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xdr:txBody>
              </xdr:sp>
              <xdr:sp macro="" textlink="">
                <xdr:nvSpPr>
                  <xdr:cNvPr id="194" name="Text Box 168">
                    <a:extLst>
                      <a:ext uri="{FF2B5EF4-FFF2-40B4-BE49-F238E27FC236}">
                        <a16:creationId xmlns="" xmlns:a16="http://schemas.microsoft.com/office/drawing/2014/main" id="{00000000-0008-0000-0200-0000C2000000}"/>
                      </a:ext>
                    </a:extLst>
                  </xdr:cNvPr>
                  <xdr:cNvSpPr txBox="1">
                    <a:spLocks noChangeAspect="1" noChangeArrowheads="1"/>
                  </xdr:cNvSpPr>
                </xdr:nvSpPr>
                <xdr:spPr bwMode="auto">
                  <a:xfrm>
                    <a:off x="1073558" y="1156002"/>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xdr:txBody>
              </xdr:sp>
              <xdr:sp macro="" textlink="">
                <xdr:nvSpPr>
                  <xdr:cNvPr id="195" name="Text Box 167">
                    <a:extLst>
                      <a:ext uri="{FF2B5EF4-FFF2-40B4-BE49-F238E27FC236}">
                        <a16:creationId xmlns="" xmlns:a16="http://schemas.microsoft.com/office/drawing/2014/main" id="{00000000-0008-0000-0200-0000C3000000}"/>
                      </a:ext>
                    </a:extLst>
                  </xdr:cNvPr>
                  <xdr:cNvSpPr txBox="1">
                    <a:spLocks noChangeAspect="1" noChangeArrowheads="1"/>
                  </xdr:cNvSpPr>
                </xdr:nvSpPr>
                <xdr:spPr bwMode="auto">
                  <a:xfrm>
                    <a:off x="1073558" y="1158039"/>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xdr:txBody>
              </xdr:sp>
              <xdr:sp macro="" textlink="">
                <xdr:nvSpPr>
                  <xdr:cNvPr id="196" name="Text Box 166">
                    <a:extLst>
                      <a:ext uri="{FF2B5EF4-FFF2-40B4-BE49-F238E27FC236}">
                        <a16:creationId xmlns="" xmlns:a16="http://schemas.microsoft.com/office/drawing/2014/main" id="{00000000-0008-0000-0200-0000C4000000}"/>
                      </a:ext>
                    </a:extLst>
                  </xdr:cNvPr>
                  <xdr:cNvSpPr txBox="1">
                    <a:spLocks noChangeAspect="1" noChangeArrowheads="1"/>
                  </xdr:cNvSpPr>
                </xdr:nvSpPr>
                <xdr:spPr bwMode="auto">
                  <a:xfrm>
                    <a:off x="1073558" y="116007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xdr:txBody>
              </xdr:sp>
              <xdr:sp macro="" textlink="">
                <xdr:nvSpPr>
                  <xdr:cNvPr id="197" name="Text Box 165">
                    <a:extLst>
                      <a:ext uri="{FF2B5EF4-FFF2-40B4-BE49-F238E27FC236}">
                        <a16:creationId xmlns="" xmlns:a16="http://schemas.microsoft.com/office/drawing/2014/main" id="{00000000-0008-0000-0200-0000C5000000}"/>
                      </a:ext>
                    </a:extLst>
                  </xdr:cNvPr>
                  <xdr:cNvSpPr txBox="1">
                    <a:spLocks noChangeAspect="1" noChangeArrowheads="1"/>
                  </xdr:cNvSpPr>
                </xdr:nvSpPr>
                <xdr:spPr bwMode="auto">
                  <a:xfrm>
                    <a:off x="1073558" y="1162112"/>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xdr:txBody>
              </xdr:sp>
              <xdr:sp macro="" textlink="">
                <xdr:nvSpPr>
                  <xdr:cNvPr id="198" name="Text Box 164">
                    <a:extLst>
                      <a:ext uri="{FF2B5EF4-FFF2-40B4-BE49-F238E27FC236}">
                        <a16:creationId xmlns="" xmlns:a16="http://schemas.microsoft.com/office/drawing/2014/main" id="{00000000-0008-0000-0200-0000C6000000}"/>
                      </a:ext>
                    </a:extLst>
                  </xdr:cNvPr>
                  <xdr:cNvSpPr txBox="1">
                    <a:spLocks noChangeAspect="1" noChangeArrowheads="1"/>
                  </xdr:cNvSpPr>
                </xdr:nvSpPr>
                <xdr:spPr bwMode="auto">
                  <a:xfrm>
                    <a:off x="1073558" y="1164149"/>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xdr:txBody>
              </xdr:sp>
              <xdr:sp macro="" textlink="">
                <xdr:nvSpPr>
                  <xdr:cNvPr id="199" name="Text Box 163">
                    <a:extLst>
                      <a:ext uri="{FF2B5EF4-FFF2-40B4-BE49-F238E27FC236}">
                        <a16:creationId xmlns="" xmlns:a16="http://schemas.microsoft.com/office/drawing/2014/main" id="{00000000-0008-0000-0200-0000C7000000}"/>
                      </a:ext>
                    </a:extLst>
                  </xdr:cNvPr>
                  <xdr:cNvSpPr txBox="1">
                    <a:spLocks noChangeAspect="1" noChangeArrowheads="1"/>
                  </xdr:cNvSpPr>
                </xdr:nvSpPr>
                <xdr:spPr bwMode="auto">
                  <a:xfrm>
                    <a:off x="1073558" y="116618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xdr:txBody>
              </xdr:sp>
              <xdr:sp macro="" textlink="">
                <xdr:nvSpPr>
                  <xdr:cNvPr id="200" name="Text Box 162">
                    <a:extLst>
                      <a:ext uri="{FF2B5EF4-FFF2-40B4-BE49-F238E27FC236}">
                        <a16:creationId xmlns="" xmlns:a16="http://schemas.microsoft.com/office/drawing/2014/main" id="{00000000-0008-0000-0200-0000C8000000}"/>
                      </a:ext>
                    </a:extLst>
                  </xdr:cNvPr>
                  <xdr:cNvSpPr txBox="1">
                    <a:spLocks noChangeAspect="1" noChangeArrowheads="1"/>
                  </xdr:cNvSpPr>
                </xdr:nvSpPr>
                <xdr:spPr bwMode="auto">
                  <a:xfrm>
                    <a:off x="1073558" y="1168223"/>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xdr:txBody>
              </xdr:sp>
              <xdr:sp macro="" textlink="">
                <xdr:nvSpPr>
                  <xdr:cNvPr id="201" name="Text Box 161">
                    <a:extLst>
                      <a:ext uri="{FF2B5EF4-FFF2-40B4-BE49-F238E27FC236}">
                        <a16:creationId xmlns="" xmlns:a16="http://schemas.microsoft.com/office/drawing/2014/main" id="{00000000-0008-0000-0200-0000C9000000}"/>
                      </a:ext>
                    </a:extLst>
                  </xdr:cNvPr>
                  <xdr:cNvSpPr txBox="1">
                    <a:spLocks noChangeAspect="1" noChangeArrowheads="1"/>
                  </xdr:cNvSpPr>
                </xdr:nvSpPr>
                <xdr:spPr bwMode="auto">
                  <a:xfrm>
                    <a:off x="1073558" y="1170260"/>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xdr:txBody>
              </xdr:sp>
            </xdr:grpSp>
            <xdr:sp macro="" textlink="">
              <xdr:nvSpPr>
                <xdr:cNvPr id="154" name="Text Box 159">
                  <a:extLst>
                    <a:ext uri="{FF2B5EF4-FFF2-40B4-BE49-F238E27FC236}">
                      <a16:creationId xmlns="" xmlns:a16="http://schemas.microsoft.com/office/drawing/2014/main" id="{00000000-0008-0000-0200-00009A000000}"/>
                    </a:ext>
                  </a:extLst>
                </xdr:cNvPr>
                <xdr:cNvSpPr txBox="1">
                  <a:spLocks noChangeAspect="1" noChangeArrowheads="1"/>
                </xdr:cNvSpPr>
              </xdr:nvSpPr>
              <xdr:spPr bwMode="auto">
                <a:xfrm>
                  <a:off x="1156760" y="1153246"/>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xdr:txBody>
            </xdr:sp>
            <xdr:sp macro="" textlink="">
              <xdr:nvSpPr>
                <xdr:cNvPr id="155" name="Text Box 158">
                  <a:extLst>
                    <a:ext uri="{FF2B5EF4-FFF2-40B4-BE49-F238E27FC236}">
                      <a16:creationId xmlns="" xmlns:a16="http://schemas.microsoft.com/office/drawing/2014/main" id="{00000000-0008-0000-0200-00009B000000}"/>
                    </a:ext>
                  </a:extLst>
                </xdr:cNvPr>
                <xdr:cNvSpPr txBox="1">
                  <a:spLocks noChangeAspect="1" noChangeArrowheads="1"/>
                </xdr:cNvSpPr>
              </xdr:nvSpPr>
              <xdr:spPr bwMode="auto">
                <a:xfrm>
                  <a:off x="1159855" y="115875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xdr:txBody>
            </xdr:sp>
            <xdr:sp macro="" textlink="">
              <xdr:nvSpPr>
                <xdr:cNvPr id="156" name="Text Box 157">
                  <a:extLst>
                    <a:ext uri="{FF2B5EF4-FFF2-40B4-BE49-F238E27FC236}">
                      <a16:creationId xmlns="" xmlns:a16="http://schemas.microsoft.com/office/drawing/2014/main" id="{00000000-0008-0000-0200-00009C000000}"/>
                    </a:ext>
                  </a:extLst>
                </xdr:cNvPr>
                <xdr:cNvSpPr txBox="1">
                  <a:spLocks noChangeAspect="1" noChangeArrowheads="1"/>
                </xdr:cNvSpPr>
              </xdr:nvSpPr>
              <xdr:spPr bwMode="auto">
                <a:xfrm>
                  <a:off x="1156284" y="1158967"/>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xdr:txBody>
            </xdr:sp>
            <xdr:sp macro="" textlink="">
              <xdr:nvSpPr>
                <xdr:cNvPr id="157" name="Text Box 156">
                  <a:extLst>
                    <a:ext uri="{FF2B5EF4-FFF2-40B4-BE49-F238E27FC236}">
                      <a16:creationId xmlns="" xmlns:a16="http://schemas.microsoft.com/office/drawing/2014/main" id="{00000000-0008-0000-0200-00009D000000}"/>
                    </a:ext>
                  </a:extLst>
                </xdr:cNvPr>
                <xdr:cNvSpPr txBox="1">
                  <a:spLocks noChangeAspect="1" noChangeArrowheads="1"/>
                </xdr:cNvSpPr>
              </xdr:nvSpPr>
              <xdr:spPr bwMode="auto">
                <a:xfrm>
                  <a:off x="1155463" y="1160880"/>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xdr:txBody>
            </xdr:sp>
            <xdr:sp macro="" textlink="">
              <xdr:nvSpPr>
                <xdr:cNvPr id="158" name="Text Box 155">
                  <a:extLst>
                    <a:ext uri="{FF2B5EF4-FFF2-40B4-BE49-F238E27FC236}">
                      <a16:creationId xmlns="" xmlns:a16="http://schemas.microsoft.com/office/drawing/2014/main" id="{00000000-0008-0000-0200-00009E000000}"/>
                    </a:ext>
                  </a:extLst>
                </xdr:cNvPr>
                <xdr:cNvSpPr txBox="1">
                  <a:spLocks noChangeAspect="1" noChangeArrowheads="1"/>
                </xdr:cNvSpPr>
              </xdr:nvSpPr>
              <xdr:spPr bwMode="auto">
                <a:xfrm>
                  <a:off x="1157089" y="116237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xdr:txBody>
            </xdr:sp>
            <xdr:sp macro="" textlink="">
              <xdr:nvSpPr>
                <xdr:cNvPr id="159" name="Text Box 154">
                  <a:extLst>
                    <a:ext uri="{FF2B5EF4-FFF2-40B4-BE49-F238E27FC236}">
                      <a16:creationId xmlns="" xmlns:a16="http://schemas.microsoft.com/office/drawing/2014/main" id="{00000000-0008-0000-0200-00009F000000}"/>
                    </a:ext>
                  </a:extLst>
                </xdr:cNvPr>
                <xdr:cNvSpPr txBox="1">
                  <a:spLocks noChangeAspect="1" noChangeArrowheads="1"/>
                </xdr:cNvSpPr>
              </xdr:nvSpPr>
              <xdr:spPr bwMode="auto">
                <a:xfrm>
                  <a:off x="1146251" y="11620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xdr:txBody>
            </xdr:sp>
            <xdr:sp macro="" textlink="">
              <xdr:nvSpPr>
                <xdr:cNvPr id="160" name="Text Box 153">
                  <a:extLst>
                    <a:ext uri="{FF2B5EF4-FFF2-40B4-BE49-F238E27FC236}">
                      <a16:creationId xmlns="" xmlns:a16="http://schemas.microsoft.com/office/drawing/2014/main" id="{00000000-0008-0000-0200-0000A0000000}"/>
                    </a:ext>
                  </a:extLst>
                </xdr:cNvPr>
                <xdr:cNvSpPr txBox="1">
                  <a:spLocks noChangeAspect="1" noChangeArrowheads="1"/>
                </xdr:cNvSpPr>
              </xdr:nvSpPr>
              <xdr:spPr bwMode="auto">
                <a:xfrm>
                  <a:off x="1156986" y="116420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xdr:txBody>
            </xdr:sp>
            <xdr:sp macro="" textlink="">
              <xdr:nvSpPr>
                <xdr:cNvPr id="161" name="Text Box 152">
                  <a:extLst>
                    <a:ext uri="{FF2B5EF4-FFF2-40B4-BE49-F238E27FC236}">
                      <a16:creationId xmlns="" xmlns:a16="http://schemas.microsoft.com/office/drawing/2014/main" id="{00000000-0008-0000-0200-0000A1000000}"/>
                    </a:ext>
                  </a:extLst>
                </xdr:cNvPr>
                <xdr:cNvSpPr txBox="1">
                  <a:spLocks noChangeAspect="1" noChangeArrowheads="1"/>
                </xdr:cNvSpPr>
              </xdr:nvSpPr>
              <xdr:spPr bwMode="auto">
                <a:xfrm>
                  <a:off x="1157266" y="118090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xdr:txBody>
            </xdr:sp>
            <xdr:sp macro="" textlink="">
              <xdr:nvSpPr>
                <xdr:cNvPr id="162" name="Text Box 151">
                  <a:extLst>
                    <a:ext uri="{FF2B5EF4-FFF2-40B4-BE49-F238E27FC236}">
                      <a16:creationId xmlns="" xmlns:a16="http://schemas.microsoft.com/office/drawing/2014/main" id="{00000000-0008-0000-0200-0000A2000000}"/>
                    </a:ext>
                  </a:extLst>
                </xdr:cNvPr>
                <xdr:cNvSpPr txBox="1">
                  <a:spLocks noChangeAspect="1" noChangeArrowheads="1"/>
                </xdr:cNvSpPr>
              </xdr:nvSpPr>
              <xdr:spPr bwMode="auto">
                <a:xfrm>
                  <a:off x="1157968" y="1187287"/>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xdr:txBody>
            </xdr:sp>
            <xdr:sp macro="" textlink="">
              <xdr:nvSpPr>
                <xdr:cNvPr id="163" name="Text Box 150">
                  <a:extLst>
                    <a:ext uri="{FF2B5EF4-FFF2-40B4-BE49-F238E27FC236}">
                      <a16:creationId xmlns="" xmlns:a16="http://schemas.microsoft.com/office/drawing/2014/main" id="{00000000-0008-0000-0200-0000A3000000}"/>
                    </a:ext>
                  </a:extLst>
                </xdr:cNvPr>
                <xdr:cNvSpPr txBox="1">
                  <a:spLocks noChangeAspect="1" noChangeArrowheads="1"/>
                </xdr:cNvSpPr>
              </xdr:nvSpPr>
              <xdr:spPr bwMode="auto">
                <a:xfrm>
                  <a:off x="1153011"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xdr:txBody>
            </xdr:sp>
            <xdr:sp macro="" textlink="">
              <xdr:nvSpPr>
                <xdr:cNvPr id="164" name="Text Box 149">
                  <a:extLst>
                    <a:ext uri="{FF2B5EF4-FFF2-40B4-BE49-F238E27FC236}">
                      <a16:creationId xmlns="" xmlns:a16="http://schemas.microsoft.com/office/drawing/2014/main" id="{00000000-0008-0000-0200-0000A4000000}"/>
                    </a:ext>
                  </a:extLst>
                </xdr:cNvPr>
                <xdr:cNvSpPr txBox="1">
                  <a:spLocks noChangeAspect="1" noChangeArrowheads="1"/>
                </xdr:cNvSpPr>
              </xdr:nvSpPr>
              <xdr:spPr bwMode="auto">
                <a:xfrm>
                  <a:off x="1158487" y="1174075"/>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xdr:txBody>
            </xdr:sp>
            <xdr:sp macro="" textlink="">
              <xdr:nvSpPr>
                <xdr:cNvPr id="165" name="Text Box 148">
                  <a:extLst>
                    <a:ext uri="{FF2B5EF4-FFF2-40B4-BE49-F238E27FC236}">
                      <a16:creationId xmlns="" xmlns:a16="http://schemas.microsoft.com/office/drawing/2014/main" id="{00000000-0008-0000-0200-0000A5000000}"/>
                    </a:ext>
                  </a:extLst>
                </xdr:cNvPr>
                <xdr:cNvSpPr txBox="1">
                  <a:spLocks noChangeAspect="1" noChangeArrowheads="1"/>
                </xdr:cNvSpPr>
              </xdr:nvSpPr>
              <xdr:spPr bwMode="auto">
                <a:xfrm>
                  <a:off x="1159323" y="1171313"/>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xdr:txBody>
            </xdr:sp>
            <xdr:sp macro="" textlink="">
              <xdr:nvSpPr>
                <xdr:cNvPr id="166" name="Text Box 147">
                  <a:extLst>
                    <a:ext uri="{FF2B5EF4-FFF2-40B4-BE49-F238E27FC236}">
                      <a16:creationId xmlns="" xmlns:a16="http://schemas.microsoft.com/office/drawing/2014/main" id="{00000000-0008-0000-0200-0000A6000000}"/>
                    </a:ext>
                  </a:extLst>
                </xdr:cNvPr>
                <xdr:cNvSpPr txBox="1">
                  <a:spLocks noChangeAspect="1" noChangeArrowheads="1"/>
                </xdr:cNvSpPr>
              </xdr:nvSpPr>
              <xdr:spPr bwMode="auto">
                <a:xfrm>
                  <a:off x="1159679" y="116979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xdr:txBody>
            </xdr:sp>
            <xdr:sp macro="" textlink="">
              <xdr:nvSpPr>
                <xdr:cNvPr id="167" name="Text Box 146">
                  <a:extLst>
                    <a:ext uri="{FF2B5EF4-FFF2-40B4-BE49-F238E27FC236}">
                      <a16:creationId xmlns="" xmlns:a16="http://schemas.microsoft.com/office/drawing/2014/main" id="{00000000-0008-0000-0200-0000A7000000}"/>
                    </a:ext>
                  </a:extLst>
                </xdr:cNvPr>
                <xdr:cNvSpPr txBox="1">
                  <a:spLocks noChangeAspect="1" noChangeArrowheads="1"/>
                </xdr:cNvSpPr>
              </xdr:nvSpPr>
              <xdr:spPr bwMode="auto">
                <a:xfrm>
                  <a:off x="1159931" y="1168098"/>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xdr:txBody>
            </xdr:sp>
            <xdr:sp macro="" textlink="">
              <xdr:nvSpPr>
                <xdr:cNvPr id="168" name="Text Box 145">
                  <a:extLst>
                    <a:ext uri="{FF2B5EF4-FFF2-40B4-BE49-F238E27FC236}">
                      <a16:creationId xmlns="" xmlns:a16="http://schemas.microsoft.com/office/drawing/2014/main" id="{00000000-0008-0000-0200-0000A8000000}"/>
                    </a:ext>
                  </a:extLst>
                </xdr:cNvPr>
                <xdr:cNvSpPr txBox="1">
                  <a:spLocks noChangeAspect="1" noChangeArrowheads="1"/>
                </xdr:cNvSpPr>
              </xdr:nvSpPr>
              <xdr:spPr bwMode="auto">
                <a:xfrm>
                  <a:off x="1164669" y="11566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xdr:txBody>
            </xdr:sp>
            <xdr:sp macro="" textlink="">
              <xdr:nvSpPr>
                <xdr:cNvPr id="169" name="Text Box 144">
                  <a:extLst>
                    <a:ext uri="{FF2B5EF4-FFF2-40B4-BE49-F238E27FC236}">
                      <a16:creationId xmlns="" xmlns:a16="http://schemas.microsoft.com/office/drawing/2014/main" id="{00000000-0008-0000-0200-0000A9000000}"/>
                    </a:ext>
                  </a:extLst>
                </xdr:cNvPr>
                <xdr:cNvSpPr txBox="1">
                  <a:spLocks noChangeAspect="1" noChangeArrowheads="1"/>
                </xdr:cNvSpPr>
              </xdr:nvSpPr>
              <xdr:spPr bwMode="auto">
                <a:xfrm>
                  <a:off x="1172365" y="1158571"/>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xdr:txBody>
            </xdr:sp>
            <xdr:sp macro="" textlink="">
              <xdr:nvSpPr>
                <xdr:cNvPr id="170" name="Text Box 143">
                  <a:extLst>
                    <a:ext uri="{FF2B5EF4-FFF2-40B4-BE49-F238E27FC236}">
                      <a16:creationId xmlns="" xmlns:a16="http://schemas.microsoft.com/office/drawing/2014/main" id="{00000000-0008-0000-0200-0000AA000000}"/>
                    </a:ext>
                  </a:extLst>
                </xdr:cNvPr>
                <xdr:cNvSpPr txBox="1">
                  <a:spLocks noChangeAspect="1" noChangeArrowheads="1"/>
                </xdr:cNvSpPr>
              </xdr:nvSpPr>
              <xdr:spPr bwMode="auto">
                <a:xfrm>
                  <a:off x="1167708" y="1163559"/>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xdr:txBody>
            </xdr:sp>
            <xdr:sp macro="" textlink="">
              <xdr:nvSpPr>
                <xdr:cNvPr id="171" name="Text Box 142">
                  <a:extLst>
                    <a:ext uri="{FF2B5EF4-FFF2-40B4-BE49-F238E27FC236}">
                      <a16:creationId xmlns="" xmlns:a16="http://schemas.microsoft.com/office/drawing/2014/main" id="{00000000-0008-0000-0200-0000AB000000}"/>
                    </a:ext>
                  </a:extLst>
                </xdr:cNvPr>
                <xdr:cNvSpPr txBox="1">
                  <a:spLocks noChangeAspect="1" noChangeArrowheads="1"/>
                </xdr:cNvSpPr>
              </xdr:nvSpPr>
              <xdr:spPr bwMode="auto">
                <a:xfrm>
                  <a:off x="1166727" y="1173069"/>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xdr:txBody>
            </xdr:sp>
            <xdr:sp macro="" textlink="">
              <xdr:nvSpPr>
                <xdr:cNvPr id="172" name="Text Box 141">
                  <a:extLst>
                    <a:ext uri="{FF2B5EF4-FFF2-40B4-BE49-F238E27FC236}">
                      <a16:creationId xmlns="" xmlns:a16="http://schemas.microsoft.com/office/drawing/2014/main" id="{00000000-0008-0000-0200-0000AC000000}"/>
                    </a:ext>
                  </a:extLst>
                </xdr:cNvPr>
                <xdr:cNvSpPr txBox="1">
                  <a:spLocks noChangeAspect="1" noChangeArrowheads="1"/>
                </xdr:cNvSpPr>
              </xdr:nvSpPr>
              <xdr:spPr bwMode="auto">
                <a:xfrm>
                  <a:off x="1166923" y="117540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xdr:txBody>
            </xdr:sp>
            <xdr:sp macro="" textlink="">
              <xdr:nvSpPr>
                <xdr:cNvPr id="173" name="Text Box 140">
                  <a:extLst>
                    <a:ext uri="{FF2B5EF4-FFF2-40B4-BE49-F238E27FC236}">
                      <a16:creationId xmlns="" xmlns:a16="http://schemas.microsoft.com/office/drawing/2014/main" id="{00000000-0008-0000-0200-0000AD000000}"/>
                    </a:ext>
                  </a:extLst>
                </xdr:cNvPr>
                <xdr:cNvSpPr txBox="1">
                  <a:spLocks noChangeAspect="1" noChangeArrowheads="1"/>
                </xdr:cNvSpPr>
              </xdr:nvSpPr>
              <xdr:spPr bwMode="auto">
                <a:xfrm>
                  <a:off x="1166727" y="1178009"/>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xdr:txBody>
            </xdr:sp>
            <xdr:sp macro="" textlink="">
              <xdr:nvSpPr>
                <xdr:cNvPr id="174" name="Text Box 139">
                  <a:extLst>
                    <a:ext uri="{FF2B5EF4-FFF2-40B4-BE49-F238E27FC236}">
                      <a16:creationId xmlns="" xmlns:a16="http://schemas.microsoft.com/office/drawing/2014/main" id="{00000000-0008-0000-0200-0000AE000000}"/>
                    </a:ext>
                  </a:extLst>
                </xdr:cNvPr>
                <xdr:cNvSpPr txBox="1">
                  <a:spLocks noChangeAspect="1" noChangeArrowheads="1"/>
                </xdr:cNvSpPr>
              </xdr:nvSpPr>
              <xdr:spPr bwMode="auto">
                <a:xfrm>
                  <a:off x="1166394" y="118052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xdr:txBody>
            </xdr:sp>
            <xdr:sp macro="" textlink="">
              <xdr:nvSpPr>
                <xdr:cNvPr id="175" name="Text Box 138">
                  <a:extLst>
                    <a:ext uri="{FF2B5EF4-FFF2-40B4-BE49-F238E27FC236}">
                      <a16:creationId xmlns="" xmlns:a16="http://schemas.microsoft.com/office/drawing/2014/main" id="{00000000-0008-0000-0200-0000AF000000}"/>
                    </a:ext>
                  </a:extLst>
                </xdr:cNvPr>
                <xdr:cNvSpPr txBox="1">
                  <a:spLocks noChangeAspect="1" noChangeArrowheads="1"/>
                </xdr:cNvSpPr>
              </xdr:nvSpPr>
              <xdr:spPr bwMode="auto">
                <a:xfrm>
                  <a:off x="1166394" y="1181333"/>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xdr:txBody>
            </xdr:sp>
            <xdr:sp macro="" textlink="">
              <xdr:nvSpPr>
                <xdr:cNvPr id="176" name="Text Box 137">
                  <a:extLst>
                    <a:ext uri="{FF2B5EF4-FFF2-40B4-BE49-F238E27FC236}">
                      <a16:creationId xmlns="" xmlns:a16="http://schemas.microsoft.com/office/drawing/2014/main" id="{00000000-0008-0000-0200-0000B0000000}"/>
                    </a:ext>
                  </a:extLst>
                </xdr:cNvPr>
                <xdr:cNvSpPr txBox="1">
                  <a:spLocks noChangeAspect="1" noChangeArrowheads="1"/>
                </xdr:cNvSpPr>
              </xdr:nvSpPr>
              <xdr:spPr bwMode="auto">
                <a:xfrm>
                  <a:off x="1164125"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xdr:txBody>
            </xdr:sp>
            <xdr:sp macro="" textlink="">
              <xdr:nvSpPr>
                <xdr:cNvPr id="177" name="Text Box 136">
                  <a:extLst>
                    <a:ext uri="{FF2B5EF4-FFF2-40B4-BE49-F238E27FC236}">
                      <a16:creationId xmlns="" xmlns:a16="http://schemas.microsoft.com/office/drawing/2014/main" id="{00000000-0008-0000-0200-0000B1000000}"/>
                    </a:ext>
                  </a:extLst>
                </xdr:cNvPr>
                <xdr:cNvSpPr txBox="1">
                  <a:spLocks noChangeAspect="1" noChangeArrowheads="1"/>
                </xdr:cNvSpPr>
              </xdr:nvSpPr>
              <xdr:spPr bwMode="auto">
                <a:xfrm>
                  <a:off x="1157217" y="1191026"/>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xdr:txBody>
            </xdr:sp>
            <xdr:sp macro="" textlink="">
              <xdr:nvSpPr>
                <xdr:cNvPr id="178" name="Text Box 135">
                  <a:extLst>
                    <a:ext uri="{FF2B5EF4-FFF2-40B4-BE49-F238E27FC236}">
                      <a16:creationId xmlns="" xmlns:a16="http://schemas.microsoft.com/office/drawing/2014/main" id="{00000000-0008-0000-0200-0000B2000000}"/>
                    </a:ext>
                  </a:extLst>
                </xdr:cNvPr>
                <xdr:cNvSpPr txBox="1">
                  <a:spLocks noChangeAspect="1" noChangeArrowheads="1"/>
                </xdr:cNvSpPr>
              </xdr:nvSpPr>
              <xdr:spPr bwMode="auto">
                <a:xfrm>
                  <a:off x="1147233" y="117612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xdr:txBody>
            </xdr:sp>
            <xdr:sp macro="" textlink="">
              <xdr:nvSpPr>
                <xdr:cNvPr id="179" name="Text Box 134">
                  <a:extLst>
                    <a:ext uri="{FF2B5EF4-FFF2-40B4-BE49-F238E27FC236}">
                      <a16:creationId xmlns="" xmlns:a16="http://schemas.microsoft.com/office/drawing/2014/main" id="{00000000-0008-0000-0200-0000B3000000}"/>
                    </a:ext>
                  </a:extLst>
                </xdr:cNvPr>
                <xdr:cNvSpPr txBox="1">
                  <a:spLocks noChangeAspect="1" noChangeArrowheads="1"/>
                </xdr:cNvSpPr>
              </xdr:nvSpPr>
              <xdr:spPr bwMode="auto">
                <a:xfrm>
                  <a:off x="1147167" y="1175234"/>
                  <a:ext cx="2636" cy="1583"/>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xdr:txBody>
            </xdr:sp>
          </xdr:grpSp>
          <xdr:grpSp>
            <xdr:nvGrpSpPr>
              <xdr:cNvPr id="143" name="Group 124">
                <a:extLst>
                  <a:ext uri="{FF2B5EF4-FFF2-40B4-BE49-F238E27FC236}">
                    <a16:creationId xmlns="" xmlns:a16="http://schemas.microsoft.com/office/drawing/2014/main" id="{00000000-0008-0000-0200-00008F000000}"/>
                  </a:ext>
                </a:extLst>
              </xdr:cNvPr>
              <xdr:cNvGrpSpPr>
                <a:grpSpLocks/>
              </xdr:cNvGrpSpPr>
            </xdr:nvGrpSpPr>
            <xdr:grpSpPr bwMode="auto">
              <a:xfrm>
                <a:off x="1246535" y="1194128"/>
                <a:ext cx="22459" cy="7411"/>
                <a:chOff x="1210860" y="1183945"/>
                <a:chExt cx="22458" cy="7411"/>
              </a:xfrm>
            </xdr:grpSpPr>
            <xdr:sp macro="" textlink="">
              <xdr:nvSpPr>
                <xdr:cNvPr id="145" name="Rectangle 132">
                  <a:extLst>
                    <a:ext uri="{FF2B5EF4-FFF2-40B4-BE49-F238E27FC236}">
                      <a16:creationId xmlns="" xmlns:a16="http://schemas.microsoft.com/office/drawing/2014/main" id="{00000000-0008-0000-0200-000091000000}"/>
                    </a:ext>
                  </a:extLst>
                </xdr:cNvPr>
                <xdr:cNvSpPr>
                  <a:spLocks noChangeArrowheads="1"/>
                </xdr:cNvSpPr>
              </xdr:nvSpPr>
              <xdr:spPr bwMode="auto">
                <a:xfrm>
                  <a:off x="1210860" y="1183945"/>
                  <a:ext cx="22458" cy="7411"/>
                </a:xfrm>
                <a:prstGeom prst="rect">
                  <a:avLst/>
                </a:prstGeom>
                <a:solidFill>
                  <a:srgbClr val="FFFFFF"/>
                </a:solidFill>
                <a:ln w="1270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46" name="AutoShape 131">
                  <a:extLst>
                    <a:ext uri="{FF2B5EF4-FFF2-40B4-BE49-F238E27FC236}">
                      <a16:creationId xmlns="" xmlns:a16="http://schemas.microsoft.com/office/drawing/2014/main" id="{00000000-0008-0000-0200-000092000000}"/>
                    </a:ext>
                  </a:extLst>
                </xdr:cNvPr>
                <xdr:cNvSpPr>
                  <a:spLocks noChangeShapeType="1"/>
                </xdr:cNvSpPr>
              </xdr:nvSpPr>
              <xdr:spPr bwMode="auto">
                <a:xfrm flipV="1">
                  <a:off x="1229160" y="1187547"/>
                  <a:ext cx="36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47" name="AutoShape 130">
                  <a:extLst>
                    <a:ext uri="{FF2B5EF4-FFF2-40B4-BE49-F238E27FC236}">
                      <a16:creationId xmlns="" xmlns:a16="http://schemas.microsoft.com/office/drawing/2014/main" id="{00000000-0008-0000-0200-000093000000}"/>
                    </a:ext>
                  </a:extLst>
                </xdr:cNvPr>
                <xdr:cNvSpPr>
                  <a:spLocks noChangeShapeType="1"/>
                </xdr:cNvSpPr>
              </xdr:nvSpPr>
              <xdr:spPr bwMode="auto">
                <a:xfrm flipV="1">
                  <a:off x="1214760" y="1190344"/>
                  <a:ext cx="180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48" name="AutoShape 129">
                  <a:extLst>
                    <a:ext uri="{FF2B5EF4-FFF2-40B4-BE49-F238E27FC236}">
                      <a16:creationId xmlns="" xmlns:a16="http://schemas.microsoft.com/office/drawing/2014/main" id="{00000000-0008-0000-0200-000094000000}"/>
                    </a:ext>
                  </a:extLst>
                </xdr:cNvPr>
                <xdr:cNvSpPr>
                  <a:spLocks noChangeShapeType="1"/>
                </xdr:cNvSpPr>
              </xdr:nvSpPr>
              <xdr:spPr bwMode="auto">
                <a:xfrm flipV="1">
                  <a:off x="1225560" y="1188882"/>
                  <a:ext cx="72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49" name="Text Box 128">
                  <a:extLst>
                    <a:ext uri="{FF2B5EF4-FFF2-40B4-BE49-F238E27FC236}">
                      <a16:creationId xmlns="" xmlns:a16="http://schemas.microsoft.com/office/drawing/2014/main" id="{00000000-0008-0000-0200-000095000000}"/>
                    </a:ext>
                  </a:extLst>
                </xdr:cNvPr>
                <xdr:cNvSpPr txBox="1">
                  <a:spLocks noChangeArrowheads="1"/>
                </xdr:cNvSpPr>
              </xdr:nvSpPr>
              <xdr:spPr bwMode="auto">
                <a:xfrm>
                  <a:off x="1226252" y="1186554"/>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xdr:txBody>
            </xdr:sp>
            <xdr:sp macro="" textlink="">
              <xdr:nvSpPr>
                <xdr:cNvPr id="150" name="Text Box 127">
                  <a:extLst>
                    <a:ext uri="{FF2B5EF4-FFF2-40B4-BE49-F238E27FC236}">
                      <a16:creationId xmlns="" xmlns:a16="http://schemas.microsoft.com/office/drawing/2014/main" id="{00000000-0008-0000-0200-000096000000}"/>
                    </a:ext>
                  </a:extLst>
                </xdr:cNvPr>
                <xdr:cNvSpPr txBox="1">
                  <a:spLocks noChangeArrowheads="1"/>
                </xdr:cNvSpPr>
              </xdr:nvSpPr>
              <xdr:spPr bwMode="auto">
                <a:xfrm>
                  <a:off x="1222571" y="1187899"/>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xdr:txBody>
            </xdr:sp>
            <xdr:sp macro="" textlink="">
              <xdr:nvSpPr>
                <xdr:cNvPr id="151" name="Text Box 126">
                  <a:extLst>
                    <a:ext uri="{FF2B5EF4-FFF2-40B4-BE49-F238E27FC236}">
                      <a16:creationId xmlns="" xmlns:a16="http://schemas.microsoft.com/office/drawing/2014/main" id="{00000000-0008-0000-0200-000097000000}"/>
                    </a:ext>
                  </a:extLst>
                </xdr:cNvPr>
                <xdr:cNvSpPr txBox="1">
                  <a:spLocks noChangeArrowheads="1"/>
                </xdr:cNvSpPr>
              </xdr:nvSpPr>
              <xdr:spPr bwMode="auto">
                <a:xfrm>
                  <a:off x="1211855" y="1189328"/>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xdr:txBody>
            </xdr:sp>
            <xdr:sp macro="" textlink="">
              <xdr:nvSpPr>
                <xdr:cNvPr id="152" name="Text Box 125">
                  <a:extLst>
                    <a:ext uri="{FF2B5EF4-FFF2-40B4-BE49-F238E27FC236}">
                      <a16:creationId xmlns="" xmlns:a16="http://schemas.microsoft.com/office/drawing/2014/main" id="{00000000-0008-0000-0200-000098000000}"/>
                    </a:ext>
                  </a:extLst>
                </xdr:cNvPr>
                <xdr:cNvSpPr txBox="1">
                  <a:spLocks noChangeArrowheads="1"/>
                </xdr:cNvSpPr>
              </xdr:nvSpPr>
              <xdr:spPr bwMode="auto">
                <a:xfrm>
                  <a:off x="1211664" y="1184526"/>
                  <a:ext cx="21654" cy="2230"/>
                </a:xfrm>
                <a:prstGeom prst="rect">
                  <a:avLst/>
                </a:prstGeom>
                <a:noFill/>
                <a:ln w="12700">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xdr:txBody>
            </xdr:sp>
          </xdr:grpSp>
          <xdr:pic>
            <xdr:nvPicPr>
              <xdr:cNvPr id="144" name="Picture 143" descr="key for track infomation">
                <a:extLst>
                  <a:ext uri="{FF2B5EF4-FFF2-40B4-BE49-F238E27FC236}">
                    <a16:creationId xmlns="" xmlns:a16="http://schemas.microsoft.com/office/drawing/2014/main" id="{00000000-0008-0000-0200-000090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4350" y="1171699"/>
                <a:ext cx="14662" cy="223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pic>
        </xdr:grpSp>
      </xdr:grpSp>
      <xdr:sp macro="" textlink="">
        <xdr:nvSpPr>
          <xdr:cNvPr id="139" name="TextBox 138">
            <a:extLst>
              <a:ext uri="{FF2B5EF4-FFF2-40B4-BE49-F238E27FC236}">
                <a16:creationId xmlns="" xmlns:a16="http://schemas.microsoft.com/office/drawing/2014/main" id="{00000000-0008-0000-0200-00008B000000}"/>
              </a:ext>
            </a:extLst>
          </xdr:cNvPr>
          <xdr:cNvSpPr txBox="1"/>
        </xdr:nvSpPr>
        <xdr:spPr>
          <a:xfrm rot="16200000">
            <a:off x="3633109" y="3878037"/>
            <a:ext cx="1279072" cy="2993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50"/>
              <a:t>Height</a:t>
            </a:r>
            <a:r>
              <a:rPr lang="en-GB" sz="1050" baseline="0"/>
              <a:t> up Hill (m)</a:t>
            </a:r>
            <a:endParaRPr lang="en-GB" sz="1050"/>
          </a:p>
        </xdr:txBody>
      </xdr:sp>
    </xdr:grpSp>
    <xdr:clientData/>
  </xdr:twoCellAnchor>
  <xdr:twoCellAnchor>
    <xdr:from>
      <xdr:col>100</xdr:col>
      <xdr:colOff>176893</xdr:colOff>
      <xdr:row>1</xdr:row>
      <xdr:rowOff>182336</xdr:rowOff>
    </xdr:from>
    <xdr:to>
      <xdr:col>121</xdr:col>
      <xdr:colOff>261937</xdr:colOff>
      <xdr:row>21</xdr:row>
      <xdr:rowOff>13606</xdr:rowOff>
    </xdr:to>
    <xdr:graphicFrame macro="">
      <xdr:nvGraphicFramePr>
        <xdr:cNvPr id="263" name="Chart 262">
          <a:extLst>
            <a:ext uri="{FF2B5EF4-FFF2-40B4-BE49-F238E27FC236}">
              <a16:creationId xmlns="" xmlns:a16="http://schemas.microsoft.com/office/drawing/2014/main" id="{00000000-0008-0000-0200-000007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100</xdr:col>
      <xdr:colOff>237361</xdr:colOff>
      <xdr:row>81</xdr:row>
      <xdr:rowOff>99219</xdr:rowOff>
    </xdr:from>
    <xdr:to>
      <xdr:col>121</xdr:col>
      <xdr:colOff>101825</xdr:colOff>
      <xdr:row>104</xdr:row>
      <xdr:rowOff>95250</xdr:rowOff>
    </xdr:to>
    <xdr:graphicFrame macro="">
      <xdr:nvGraphicFramePr>
        <xdr:cNvPr id="264" name="Chart 263">
          <a:extLst>
            <a:ext uri="{FF2B5EF4-FFF2-40B4-BE49-F238E27FC236}">
              <a16:creationId xmlns="" xmlns:a16="http://schemas.microsoft.com/office/drawing/2014/main" id="{00000000-0008-0000-0200-000008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100</xdr:col>
      <xdr:colOff>260153</xdr:colOff>
      <xdr:row>59</xdr:row>
      <xdr:rowOff>197528</xdr:rowOff>
    </xdr:from>
    <xdr:to>
      <xdr:col>121</xdr:col>
      <xdr:colOff>128342</xdr:colOff>
      <xdr:row>80</xdr:row>
      <xdr:rowOff>45892</xdr:rowOff>
    </xdr:to>
    <xdr:graphicFrame macro="">
      <xdr:nvGraphicFramePr>
        <xdr:cNvPr id="265" name="Chart 264">
          <a:extLst>
            <a:ext uri="{FF2B5EF4-FFF2-40B4-BE49-F238E27FC236}">
              <a16:creationId xmlns="" xmlns:a16="http://schemas.microsoft.com/office/drawing/2014/main" id="{00000000-0008-0000-0200-000009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100</xdr:col>
      <xdr:colOff>225517</xdr:colOff>
      <xdr:row>39</xdr:row>
      <xdr:rowOff>119341</xdr:rowOff>
    </xdr:from>
    <xdr:to>
      <xdr:col>121</xdr:col>
      <xdr:colOff>133186</xdr:colOff>
      <xdr:row>58</xdr:row>
      <xdr:rowOff>266698</xdr:rowOff>
    </xdr:to>
    <xdr:graphicFrame macro="">
      <xdr:nvGraphicFramePr>
        <xdr:cNvPr id="266" name="Chart 265">
          <a:extLst>
            <a:ext uri="{FF2B5EF4-FFF2-40B4-BE49-F238E27FC236}">
              <a16:creationId xmlns="" xmlns:a16="http://schemas.microsoft.com/office/drawing/2014/main" id="{00000000-0008-0000-0200-00000A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100</xdr:col>
      <xdr:colOff>289926</xdr:colOff>
      <xdr:row>129</xdr:row>
      <xdr:rowOff>134267</xdr:rowOff>
    </xdr:from>
    <xdr:to>
      <xdr:col>121</xdr:col>
      <xdr:colOff>3520</xdr:colOff>
      <xdr:row>154</xdr:row>
      <xdr:rowOff>143945</xdr:rowOff>
    </xdr:to>
    <xdr:graphicFrame macro="">
      <xdr:nvGraphicFramePr>
        <xdr:cNvPr id="267" name="Chart 266">
          <a:extLst>
            <a:ext uri="{FF2B5EF4-FFF2-40B4-BE49-F238E27FC236}">
              <a16:creationId xmlns="" xmlns:a16="http://schemas.microsoft.com/office/drawing/2014/main" id="{00000000-0008-0000-0200-00000B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100</xdr:col>
      <xdr:colOff>190499</xdr:colOff>
      <xdr:row>21</xdr:row>
      <xdr:rowOff>103415</xdr:rowOff>
    </xdr:from>
    <xdr:to>
      <xdr:col>121</xdr:col>
      <xdr:colOff>225907</xdr:colOff>
      <xdr:row>38</xdr:row>
      <xdr:rowOff>198664</xdr:rowOff>
    </xdr:to>
    <xdr:graphicFrame macro="">
      <xdr:nvGraphicFramePr>
        <xdr:cNvPr id="268" name="Chart 267">
          <a:extLst>
            <a:ext uri="{FF2B5EF4-FFF2-40B4-BE49-F238E27FC236}">
              <a16:creationId xmlns="" xmlns:a16="http://schemas.microsoft.com/office/drawing/2014/main" id="{00000000-0008-0000-0200-00000C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100</xdr:col>
      <xdr:colOff>268429</xdr:colOff>
      <xdr:row>104</xdr:row>
      <xdr:rowOff>133349</xdr:rowOff>
    </xdr:from>
    <xdr:to>
      <xdr:col>121</xdr:col>
      <xdr:colOff>19567</xdr:colOff>
      <xdr:row>128</xdr:row>
      <xdr:rowOff>102177</xdr:rowOff>
    </xdr:to>
    <xdr:graphicFrame macro="">
      <xdr:nvGraphicFramePr>
        <xdr:cNvPr id="269" name="Chart 268">
          <a:extLst>
            <a:ext uri="{FF2B5EF4-FFF2-40B4-BE49-F238E27FC236}">
              <a16:creationId xmlns="" xmlns:a16="http://schemas.microsoft.com/office/drawing/2014/main" id="{00000000-0008-0000-0200-00000D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100</xdr:col>
      <xdr:colOff>296956</xdr:colOff>
      <xdr:row>155</xdr:row>
      <xdr:rowOff>110937</xdr:rowOff>
    </xdr:from>
    <xdr:to>
      <xdr:col>121</xdr:col>
      <xdr:colOff>27214</xdr:colOff>
      <xdr:row>197</xdr:row>
      <xdr:rowOff>163285</xdr:rowOff>
    </xdr:to>
    <xdr:graphicFrame macro="">
      <xdr:nvGraphicFramePr>
        <xdr:cNvPr id="270" name="Chart 269">
          <a:extLst>
            <a:ext uri="{FF2B5EF4-FFF2-40B4-BE49-F238E27FC236}">
              <a16:creationId xmlns="" xmlns:a16="http://schemas.microsoft.com/office/drawing/2014/main" id="{00000000-0008-0000-0200-00000E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100</xdr:col>
      <xdr:colOff>201384</xdr:colOff>
      <xdr:row>200</xdr:row>
      <xdr:rowOff>5945</xdr:rowOff>
    </xdr:from>
    <xdr:to>
      <xdr:col>120</xdr:col>
      <xdr:colOff>647699</xdr:colOff>
      <xdr:row>234</xdr:row>
      <xdr:rowOff>199158</xdr:rowOff>
    </xdr:to>
    <xdr:graphicFrame macro="">
      <xdr:nvGraphicFramePr>
        <xdr:cNvPr id="271" name="Chart 270">
          <a:extLst>
            <a:ext uri="{FF2B5EF4-FFF2-40B4-BE49-F238E27FC236}">
              <a16:creationId xmlns="" xmlns:a16="http://schemas.microsoft.com/office/drawing/2014/main" id="{00000000-0008-0000-0200-00000F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54</xdr:col>
      <xdr:colOff>813955</xdr:colOff>
      <xdr:row>2</xdr:row>
      <xdr:rowOff>200288</xdr:rowOff>
    </xdr:from>
    <xdr:to>
      <xdr:col>65</xdr:col>
      <xdr:colOff>17320</xdr:colOff>
      <xdr:row>21</xdr:row>
      <xdr:rowOff>29030</xdr:rowOff>
    </xdr:to>
    <xdr:pic>
      <xdr:nvPicPr>
        <xdr:cNvPr id="3" name="Picture 2">
          <a:extLst>
            <a:ext uri="{FF2B5EF4-FFF2-40B4-BE49-F238E27FC236}">
              <a16:creationId xmlns="" xmlns:a16="http://schemas.microsoft.com/office/drawing/2014/main" id="{8BBE7059-6113-4AB7-99C9-35581CD6CD8F}"/>
            </a:ext>
          </a:extLst>
        </xdr:cNvPr>
        <xdr:cNvPicPr>
          <a:picLocks noChangeAspect="1"/>
        </xdr:cNvPicPr>
      </xdr:nvPicPr>
      <xdr:blipFill>
        <a:blip xmlns:r="http://schemas.openxmlformats.org/officeDocument/2006/relationships" r:embed="rId13"/>
        <a:stretch>
          <a:fillRect/>
        </a:stretch>
      </xdr:blipFill>
      <xdr:spPr>
        <a:xfrm>
          <a:off x="106897607" y="705527"/>
          <a:ext cx="7949799" cy="4549829"/>
        </a:xfrm>
        <a:prstGeom prst="rect">
          <a:avLst/>
        </a:prstGeom>
      </xdr:spPr>
    </xdr:pic>
    <xdr:clientData/>
  </xdr:twoCellAnchor>
  <xdr:twoCellAnchor editAs="oneCell">
    <xdr:from>
      <xdr:col>54</xdr:col>
      <xdr:colOff>744681</xdr:colOff>
      <xdr:row>21</xdr:row>
      <xdr:rowOff>155864</xdr:rowOff>
    </xdr:from>
    <xdr:to>
      <xdr:col>65</xdr:col>
      <xdr:colOff>2846</xdr:colOff>
      <xdr:row>34</xdr:row>
      <xdr:rowOff>128190</xdr:rowOff>
    </xdr:to>
    <xdr:pic>
      <xdr:nvPicPr>
        <xdr:cNvPr id="4" name="Picture 3">
          <a:extLst>
            <a:ext uri="{FF2B5EF4-FFF2-40B4-BE49-F238E27FC236}">
              <a16:creationId xmlns="" xmlns:a16="http://schemas.microsoft.com/office/drawing/2014/main" id="{68408F4C-8BE8-4269-9198-0E1E0A36009A}"/>
            </a:ext>
          </a:extLst>
        </xdr:cNvPr>
        <xdr:cNvPicPr>
          <a:picLocks noChangeAspect="1"/>
        </xdr:cNvPicPr>
      </xdr:nvPicPr>
      <xdr:blipFill>
        <a:blip xmlns:r="http://schemas.openxmlformats.org/officeDocument/2006/relationships" r:embed="rId14"/>
        <a:stretch>
          <a:fillRect/>
        </a:stretch>
      </xdr:blipFill>
      <xdr:spPr>
        <a:xfrm>
          <a:off x="114282681" y="5264728"/>
          <a:ext cx="8026112" cy="3124235"/>
        </a:xfrm>
        <a:prstGeom prst="rect">
          <a:avLst/>
        </a:prstGeom>
      </xdr:spPr>
    </xdr:pic>
    <xdr:clientData/>
  </xdr:twoCellAnchor>
  <xdr:twoCellAnchor editAs="oneCell">
    <xdr:from>
      <xdr:col>54</xdr:col>
      <xdr:colOff>762000</xdr:colOff>
      <xdr:row>34</xdr:row>
      <xdr:rowOff>207818</xdr:rowOff>
    </xdr:from>
    <xdr:to>
      <xdr:col>63</xdr:col>
      <xdr:colOff>186186</xdr:colOff>
      <xdr:row>45</xdr:row>
      <xdr:rowOff>150342</xdr:rowOff>
    </xdr:to>
    <xdr:pic>
      <xdr:nvPicPr>
        <xdr:cNvPr id="2" name="Picture 1">
          <a:extLst>
            <a:ext uri="{FF2B5EF4-FFF2-40B4-BE49-F238E27FC236}">
              <a16:creationId xmlns="" xmlns:a16="http://schemas.microsoft.com/office/drawing/2014/main" id="{F15732AC-58DB-46CB-A088-6EA84335F412}"/>
            </a:ext>
          </a:extLst>
        </xdr:cNvPr>
        <xdr:cNvPicPr>
          <a:picLocks noChangeAspect="1"/>
        </xdr:cNvPicPr>
      </xdr:nvPicPr>
      <xdr:blipFill>
        <a:blip xmlns:r="http://schemas.openxmlformats.org/officeDocument/2006/relationships" r:embed="rId15"/>
        <a:stretch>
          <a:fillRect/>
        </a:stretch>
      </xdr:blipFill>
      <xdr:spPr>
        <a:xfrm>
          <a:off x="114300000" y="8468591"/>
          <a:ext cx="6819048" cy="2609524"/>
        </a:xfrm>
        <a:prstGeom prst="rect">
          <a:avLst/>
        </a:prstGeom>
      </xdr:spPr>
    </xdr:pic>
    <xdr:clientData/>
  </xdr:twoCellAnchor>
  <xdr:twoCellAnchor editAs="oneCell">
    <xdr:from>
      <xdr:col>54</xdr:col>
      <xdr:colOff>727364</xdr:colOff>
      <xdr:row>46</xdr:row>
      <xdr:rowOff>103909</xdr:rowOff>
    </xdr:from>
    <xdr:to>
      <xdr:col>60</xdr:col>
      <xdr:colOff>391634</xdr:colOff>
      <xdr:row>58</xdr:row>
      <xdr:rowOff>108740</xdr:rowOff>
    </xdr:to>
    <xdr:pic>
      <xdr:nvPicPr>
        <xdr:cNvPr id="5" name="Picture 4">
          <a:extLst>
            <a:ext uri="{FF2B5EF4-FFF2-40B4-BE49-F238E27FC236}">
              <a16:creationId xmlns="" xmlns:a16="http://schemas.microsoft.com/office/drawing/2014/main" id="{35510C48-D006-4DDE-BDCB-D4E3D2110677}"/>
            </a:ext>
          </a:extLst>
        </xdr:cNvPr>
        <xdr:cNvPicPr>
          <a:picLocks noChangeAspect="1"/>
        </xdr:cNvPicPr>
      </xdr:nvPicPr>
      <xdr:blipFill>
        <a:blip xmlns:r="http://schemas.openxmlformats.org/officeDocument/2006/relationships" r:embed="rId16"/>
        <a:stretch>
          <a:fillRect/>
        </a:stretch>
      </xdr:blipFill>
      <xdr:spPr>
        <a:xfrm>
          <a:off x="114265364" y="11274136"/>
          <a:ext cx="4980952" cy="2914286"/>
        </a:xfrm>
        <a:prstGeom prst="rect">
          <a:avLst/>
        </a:prstGeom>
      </xdr:spPr>
    </xdr:pic>
    <xdr:clientData/>
  </xdr:twoCellAnchor>
  <xdr:twoCellAnchor editAs="oneCell">
    <xdr:from>
      <xdr:col>60</xdr:col>
      <xdr:colOff>536863</xdr:colOff>
      <xdr:row>46</xdr:row>
      <xdr:rowOff>103910</xdr:rowOff>
    </xdr:from>
    <xdr:to>
      <xdr:col>70</xdr:col>
      <xdr:colOff>342925</xdr:colOff>
      <xdr:row>68</xdr:row>
      <xdr:rowOff>103243</xdr:rowOff>
    </xdr:to>
    <xdr:pic>
      <xdr:nvPicPr>
        <xdr:cNvPr id="6" name="Picture 5">
          <a:extLst>
            <a:ext uri="{FF2B5EF4-FFF2-40B4-BE49-F238E27FC236}">
              <a16:creationId xmlns="" xmlns:a16="http://schemas.microsoft.com/office/drawing/2014/main" id="{C5F0D5AD-4A00-4636-B810-A1980E265878}"/>
            </a:ext>
          </a:extLst>
        </xdr:cNvPr>
        <xdr:cNvPicPr>
          <a:picLocks noChangeAspect="1"/>
        </xdr:cNvPicPr>
      </xdr:nvPicPr>
      <xdr:blipFill>
        <a:blip xmlns:r="http://schemas.openxmlformats.org/officeDocument/2006/relationships" r:embed="rId17"/>
        <a:stretch>
          <a:fillRect/>
        </a:stretch>
      </xdr:blipFill>
      <xdr:spPr>
        <a:xfrm>
          <a:off x="119391545" y="11274137"/>
          <a:ext cx="6733333" cy="5333333"/>
        </a:xfrm>
        <a:prstGeom prst="rect">
          <a:avLst/>
        </a:prstGeom>
      </xdr:spPr>
    </xdr:pic>
    <xdr:clientData/>
  </xdr:twoCellAnchor>
  <xdr:twoCellAnchor>
    <xdr:from>
      <xdr:col>30</xdr:col>
      <xdr:colOff>748393</xdr:colOff>
      <xdr:row>5</xdr:row>
      <xdr:rowOff>98250</xdr:rowOff>
    </xdr:from>
    <xdr:to>
      <xdr:col>34</xdr:col>
      <xdr:colOff>2217966</xdr:colOff>
      <xdr:row>25</xdr:row>
      <xdr:rowOff>100631</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49</xdr:col>
      <xdr:colOff>457695</xdr:colOff>
      <xdr:row>93</xdr:row>
      <xdr:rowOff>146213</xdr:rowOff>
    </xdr:from>
    <xdr:to>
      <xdr:col>53</xdr:col>
      <xdr:colOff>1472045</xdr:colOff>
      <xdr:row>117</xdr:row>
      <xdr:rowOff>69272</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49</xdr:col>
      <xdr:colOff>458931</xdr:colOff>
      <xdr:row>117</xdr:row>
      <xdr:rowOff>161057</xdr:rowOff>
    </xdr:from>
    <xdr:to>
      <xdr:col>53</xdr:col>
      <xdr:colOff>1437409</xdr:colOff>
      <xdr:row>146</xdr:row>
      <xdr:rowOff>86590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36</xdr:col>
      <xdr:colOff>432953</xdr:colOff>
      <xdr:row>155</xdr:row>
      <xdr:rowOff>86591</xdr:rowOff>
    </xdr:from>
    <xdr:to>
      <xdr:col>43</xdr:col>
      <xdr:colOff>848589</xdr:colOff>
      <xdr:row>162</xdr:row>
      <xdr:rowOff>207818</xdr:rowOff>
    </xdr:to>
    <xdr:sp macro="" textlink="">
      <xdr:nvSpPr>
        <xdr:cNvPr id="18" name="Curved Up Arrow 17"/>
        <xdr:cNvSpPr/>
      </xdr:nvSpPr>
      <xdr:spPr>
        <a:xfrm flipH="1">
          <a:off x="97380135" y="37788273"/>
          <a:ext cx="17248909" cy="1818409"/>
        </a:xfrm>
        <a:prstGeom prst="curvedUpArrow">
          <a:avLst>
            <a:gd name="adj1" fmla="val 11489"/>
            <a:gd name="adj2" fmla="val 50000"/>
            <a:gd name="adj3" fmla="val 25000"/>
          </a:avLst>
        </a:prstGeom>
        <a:solidFill>
          <a:srgbClr val="FF6D6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49</xdr:col>
      <xdr:colOff>424294</xdr:colOff>
      <xdr:row>147</xdr:row>
      <xdr:rowOff>5193</xdr:rowOff>
    </xdr:from>
    <xdr:to>
      <xdr:col>54</xdr:col>
      <xdr:colOff>831272</xdr:colOff>
      <xdr:row>181</xdr:row>
      <xdr:rowOff>69272</xdr:rowOff>
    </xdr:to>
    <xdr:graphicFrame macro="">
      <xdr:nvGraphicFramePr>
        <xdr:cNvPr id="19"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49</xdr:col>
      <xdr:colOff>372340</xdr:colOff>
      <xdr:row>181</xdr:row>
      <xdr:rowOff>213013</xdr:rowOff>
    </xdr:from>
    <xdr:to>
      <xdr:col>54</xdr:col>
      <xdr:colOff>831273</xdr:colOff>
      <xdr:row>199</xdr:row>
      <xdr:rowOff>103909</xdr:rowOff>
    </xdr:to>
    <xdr:graphicFrame macro="">
      <xdr:nvGraphicFramePr>
        <xdr:cNvPr id="20"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editAs="oneCell">
    <xdr:from>
      <xdr:col>54</xdr:col>
      <xdr:colOff>904875</xdr:colOff>
      <xdr:row>98</xdr:row>
      <xdr:rowOff>71437</xdr:rowOff>
    </xdr:from>
    <xdr:to>
      <xdr:col>67</xdr:col>
      <xdr:colOff>113130</xdr:colOff>
      <xdr:row>130</xdr:row>
      <xdr:rowOff>51437</xdr:rowOff>
    </xdr:to>
    <xdr:pic>
      <xdr:nvPicPr>
        <xdr:cNvPr id="21" name="Picture 20"/>
        <xdr:cNvPicPr>
          <a:picLocks noChangeAspect="1"/>
        </xdr:cNvPicPr>
      </xdr:nvPicPr>
      <xdr:blipFill>
        <a:blip xmlns:r="http://schemas.openxmlformats.org/officeDocument/2006/relationships" r:embed="rId23"/>
        <a:stretch>
          <a:fillRect/>
        </a:stretch>
      </xdr:blipFill>
      <xdr:spPr>
        <a:xfrm>
          <a:off x="129301875" y="23455312"/>
          <a:ext cx="9352381" cy="7600000"/>
        </a:xfrm>
        <a:prstGeom prst="rect">
          <a:avLst/>
        </a:prstGeom>
      </xdr:spPr>
    </xdr:pic>
    <xdr:clientData/>
  </xdr:twoCellAnchor>
  <xdr:twoCellAnchor>
    <xdr:from>
      <xdr:col>33</xdr:col>
      <xdr:colOff>2200274</xdr:colOff>
      <xdr:row>163</xdr:row>
      <xdr:rowOff>247649</xdr:rowOff>
    </xdr:from>
    <xdr:to>
      <xdr:col>37</xdr:col>
      <xdr:colOff>114299</xdr:colOff>
      <xdr:row>179</xdr:row>
      <xdr:rowOff>152399</xdr:rowOff>
    </xdr:to>
    <xdr:graphicFrame macro="">
      <xdr:nvGraphicFramePr>
        <xdr:cNvPr id="27" name="Chart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31</xdr:col>
      <xdr:colOff>142874</xdr:colOff>
      <xdr:row>169</xdr:row>
      <xdr:rowOff>77560</xdr:rowOff>
    </xdr:from>
    <xdr:to>
      <xdr:col>32</xdr:col>
      <xdr:colOff>2183946</xdr:colOff>
      <xdr:row>180</xdr:row>
      <xdr:rowOff>126546</xdr:rowOff>
    </xdr:to>
    <xdr:graphicFrame macro="">
      <xdr:nvGraphicFramePr>
        <xdr:cNvPr id="28" name="Chart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31</xdr:col>
      <xdr:colOff>170087</xdr:colOff>
      <xdr:row>180</xdr:row>
      <xdr:rowOff>186418</xdr:rowOff>
    </xdr:from>
    <xdr:to>
      <xdr:col>32</xdr:col>
      <xdr:colOff>2211159</xdr:colOff>
      <xdr:row>191</xdr:row>
      <xdr:rowOff>235404</xdr:rowOff>
    </xdr:to>
    <xdr:graphicFrame macro="">
      <xdr:nvGraphicFramePr>
        <xdr:cNvPr id="29" name="Chart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33</xdr:col>
      <xdr:colOff>1566020</xdr:colOff>
      <xdr:row>197</xdr:row>
      <xdr:rowOff>196022</xdr:rowOff>
    </xdr:from>
    <xdr:to>
      <xdr:col>37</xdr:col>
      <xdr:colOff>795616</xdr:colOff>
      <xdr:row>215</xdr:row>
      <xdr:rowOff>123264</xdr:rowOff>
    </xdr:to>
    <xdr:graphicFrame macro="">
      <xdr:nvGraphicFramePr>
        <xdr:cNvPr id="30" name="Chart 2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31</xdr:col>
      <xdr:colOff>129268</xdr:colOff>
      <xdr:row>203</xdr:row>
      <xdr:rowOff>172812</xdr:rowOff>
    </xdr:from>
    <xdr:to>
      <xdr:col>32</xdr:col>
      <xdr:colOff>2170340</xdr:colOff>
      <xdr:row>214</xdr:row>
      <xdr:rowOff>221797</xdr:rowOff>
    </xdr:to>
    <xdr:graphicFrame macro="">
      <xdr:nvGraphicFramePr>
        <xdr:cNvPr id="255" name="Chart 2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48</xdr:col>
      <xdr:colOff>136071</xdr:colOff>
      <xdr:row>31</xdr:row>
      <xdr:rowOff>9525</xdr:rowOff>
    </xdr:from>
    <xdr:to>
      <xdr:col>50</xdr:col>
      <xdr:colOff>217714</xdr:colOff>
      <xdr:row>42</xdr:row>
      <xdr:rowOff>58511</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50</xdr:col>
      <xdr:colOff>401411</xdr:colOff>
      <xdr:row>30</xdr:row>
      <xdr:rowOff>240846</xdr:rowOff>
    </xdr:from>
    <xdr:to>
      <xdr:col>52</xdr:col>
      <xdr:colOff>333375</xdr:colOff>
      <xdr:row>42</xdr:row>
      <xdr:rowOff>44903</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editAs="oneCell">
    <xdr:from>
      <xdr:col>61</xdr:col>
      <xdr:colOff>537883</xdr:colOff>
      <xdr:row>71</xdr:row>
      <xdr:rowOff>212911</xdr:rowOff>
    </xdr:from>
    <xdr:to>
      <xdr:col>69</xdr:col>
      <xdr:colOff>50364</xdr:colOff>
      <xdr:row>74</xdr:row>
      <xdr:rowOff>87324</xdr:rowOff>
    </xdr:to>
    <xdr:pic>
      <xdr:nvPicPr>
        <xdr:cNvPr id="12" name="Picture 11"/>
        <xdr:cNvPicPr>
          <a:picLocks noChangeAspect="1"/>
        </xdr:cNvPicPr>
      </xdr:nvPicPr>
      <xdr:blipFill>
        <a:blip xmlns:r="http://schemas.openxmlformats.org/officeDocument/2006/relationships" r:embed="rId31"/>
        <a:stretch>
          <a:fillRect/>
        </a:stretch>
      </xdr:blipFill>
      <xdr:spPr>
        <a:xfrm>
          <a:off x="142639677" y="17727705"/>
          <a:ext cx="4980952" cy="647619"/>
        </a:xfrm>
        <a:prstGeom prst="rect">
          <a:avLst/>
        </a:prstGeom>
      </xdr:spPr>
    </xdr:pic>
    <xdr:clientData/>
  </xdr:twoCellAnchor>
  <xdr:twoCellAnchor>
    <xdr:from>
      <xdr:col>33</xdr:col>
      <xdr:colOff>1568824</xdr:colOff>
      <xdr:row>180</xdr:row>
      <xdr:rowOff>132431</xdr:rowOff>
    </xdr:from>
    <xdr:to>
      <xdr:col>37</xdr:col>
      <xdr:colOff>1871382</xdr:colOff>
      <xdr:row>197</xdr:row>
      <xdr:rowOff>89647</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33</xdr:col>
      <xdr:colOff>1549213</xdr:colOff>
      <xdr:row>216</xdr:row>
      <xdr:rowOff>51548</xdr:rowOff>
    </xdr:from>
    <xdr:to>
      <xdr:col>36</xdr:col>
      <xdr:colOff>352985</xdr:colOff>
      <xdr:row>227</xdr:row>
      <xdr:rowOff>82924</xdr:rowOff>
    </xdr:to>
    <xdr:graphicFrame macro="">
      <xdr:nvGraphicFramePr>
        <xdr:cNvPr id="17"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37</xdr:col>
      <xdr:colOff>142874</xdr:colOff>
      <xdr:row>163</xdr:row>
      <xdr:rowOff>238123</xdr:rowOff>
    </xdr:from>
    <xdr:to>
      <xdr:col>39</xdr:col>
      <xdr:colOff>447675</xdr:colOff>
      <xdr:row>179</xdr:row>
      <xdr:rowOff>152399</xdr:rowOff>
    </xdr:to>
    <xdr:graphicFrame macro="">
      <xdr:nvGraphicFramePr>
        <xdr:cNvPr id="22"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512123</xdr:colOff>
      <xdr:row>6</xdr:row>
      <xdr:rowOff>51461</xdr:rowOff>
    </xdr:from>
    <xdr:to>
      <xdr:col>6</xdr:col>
      <xdr:colOff>238621</xdr:colOff>
      <xdr:row>33</xdr:row>
      <xdr:rowOff>99086</xdr:rowOff>
    </xdr:to>
    <xdr:grpSp>
      <xdr:nvGrpSpPr>
        <xdr:cNvPr id="2739" name="Group 691">
          <a:extLst>
            <a:ext uri="{FF2B5EF4-FFF2-40B4-BE49-F238E27FC236}">
              <a16:creationId xmlns="" xmlns:a16="http://schemas.microsoft.com/office/drawing/2014/main" id="{00000000-0008-0000-0300-0000B30A0000}"/>
            </a:ext>
          </a:extLst>
        </xdr:cNvPr>
        <xdr:cNvGrpSpPr>
          <a:grpSpLocks/>
        </xdr:cNvGrpSpPr>
      </xdr:nvGrpSpPr>
      <xdr:grpSpPr bwMode="auto">
        <a:xfrm>
          <a:off x="9438409" y="1357747"/>
          <a:ext cx="6530069" cy="5925910"/>
          <a:chOff x="120816104" y="113816596"/>
          <a:chExt cx="6655296" cy="6508021"/>
        </a:xfrm>
      </xdr:grpSpPr>
      <xdr:sp macro="" textlink="">
        <xdr:nvSpPr>
          <xdr:cNvPr id="2740" name="Rectangle 692">
            <a:extLst>
              <a:ext uri="{FF2B5EF4-FFF2-40B4-BE49-F238E27FC236}">
                <a16:creationId xmlns="" xmlns:a16="http://schemas.microsoft.com/office/drawing/2014/main" id="{00000000-0008-0000-0300-0000B40A0000}"/>
              </a:ext>
            </a:extLst>
          </xdr:cNvPr>
          <xdr:cNvSpPr>
            <a:spLocks noChangeArrowheads="1"/>
          </xdr:cNvSpPr>
        </xdr:nvSpPr>
        <xdr:spPr bwMode="auto">
          <a:xfrm>
            <a:off x="120816104" y="113816596"/>
            <a:ext cx="6655296" cy="6508021"/>
          </a:xfrm>
          <a:prstGeom prst="rect">
            <a:avLst/>
          </a:prstGeom>
          <a:solidFill>
            <a:srgbClr val="FFFFFF"/>
          </a:solidFill>
          <a:ln w="25400" algn="ctr">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sp>
      <xdr:grpSp>
        <xdr:nvGrpSpPr>
          <xdr:cNvPr id="2741" name="Group 693">
            <a:extLst>
              <a:ext uri="{FF2B5EF4-FFF2-40B4-BE49-F238E27FC236}">
                <a16:creationId xmlns="" xmlns:a16="http://schemas.microsoft.com/office/drawing/2014/main" id="{00000000-0008-0000-0300-0000B50A0000}"/>
              </a:ext>
            </a:extLst>
          </xdr:cNvPr>
          <xdr:cNvGrpSpPr>
            <a:grpSpLocks/>
          </xdr:cNvGrpSpPr>
        </xdr:nvGrpSpPr>
        <xdr:grpSpPr bwMode="auto">
          <a:xfrm>
            <a:off x="121025171" y="114081646"/>
            <a:ext cx="6330240" cy="6072077"/>
            <a:chOff x="120570964" y="114152179"/>
            <a:chExt cx="6330240" cy="6072077"/>
          </a:xfrm>
        </xdr:grpSpPr>
        <xdr:grpSp>
          <xdr:nvGrpSpPr>
            <xdr:cNvPr id="2742" name="Group 694">
              <a:extLst>
                <a:ext uri="{FF2B5EF4-FFF2-40B4-BE49-F238E27FC236}">
                  <a16:creationId xmlns="" xmlns:a16="http://schemas.microsoft.com/office/drawing/2014/main" id="{00000000-0008-0000-0300-0000B60A0000}"/>
                </a:ext>
              </a:extLst>
            </xdr:cNvPr>
            <xdr:cNvGrpSpPr>
              <a:grpSpLocks noChangeAspect="1"/>
            </xdr:cNvGrpSpPr>
          </xdr:nvGrpSpPr>
          <xdr:grpSpPr bwMode="auto">
            <a:xfrm>
              <a:off x="120570964" y="114152179"/>
              <a:ext cx="6330240" cy="6072077"/>
              <a:chOff x="113618533" y="115115833"/>
              <a:chExt cx="4420694" cy="4240408"/>
            </a:xfrm>
          </xdr:grpSpPr>
          <xdr:grpSp>
            <xdr:nvGrpSpPr>
              <xdr:cNvPr id="2743" name="Group 695">
                <a:extLst>
                  <a:ext uri="{FF2B5EF4-FFF2-40B4-BE49-F238E27FC236}">
                    <a16:creationId xmlns="" xmlns:a16="http://schemas.microsoft.com/office/drawing/2014/main" id="{00000000-0008-0000-0300-0000B70A0000}"/>
                  </a:ext>
                </a:extLst>
              </xdr:cNvPr>
              <xdr:cNvGrpSpPr>
                <a:grpSpLocks noChangeAspect="1"/>
              </xdr:cNvGrpSpPr>
            </xdr:nvGrpSpPr>
            <xdr:grpSpPr bwMode="auto">
              <a:xfrm>
                <a:off x="113618533" y="115115833"/>
                <a:ext cx="4420694" cy="4240408"/>
                <a:chOff x="107355854" y="115205603"/>
                <a:chExt cx="4420694" cy="4240408"/>
              </a:xfrm>
            </xdr:grpSpPr>
            <xdr:grpSp>
              <xdr:nvGrpSpPr>
                <xdr:cNvPr id="2744" name="Group 696">
                  <a:extLst>
                    <a:ext uri="{FF2B5EF4-FFF2-40B4-BE49-F238E27FC236}">
                      <a16:creationId xmlns="" xmlns:a16="http://schemas.microsoft.com/office/drawing/2014/main" id="{00000000-0008-0000-0300-0000B80A0000}"/>
                    </a:ext>
                  </a:extLst>
                </xdr:cNvPr>
                <xdr:cNvGrpSpPr>
                  <a:grpSpLocks noChangeAspect="1"/>
                </xdr:cNvGrpSpPr>
              </xdr:nvGrpSpPr>
              <xdr:grpSpPr bwMode="auto">
                <a:xfrm>
                  <a:off x="107624521" y="115295373"/>
                  <a:ext cx="4152027" cy="4098809"/>
                  <a:chOff x="107780011" y="110414749"/>
                  <a:chExt cx="4152027" cy="4098809"/>
                </a:xfrm>
              </xdr:grpSpPr>
              <xdr:grpSp>
                <xdr:nvGrpSpPr>
                  <xdr:cNvPr id="2745" name="Group 697">
                    <a:extLst>
                      <a:ext uri="{FF2B5EF4-FFF2-40B4-BE49-F238E27FC236}">
                        <a16:creationId xmlns="" xmlns:a16="http://schemas.microsoft.com/office/drawing/2014/main" id="{00000000-0008-0000-0300-0000B90A0000}"/>
                      </a:ext>
                    </a:extLst>
                  </xdr:cNvPr>
                  <xdr:cNvGrpSpPr>
                    <a:grpSpLocks noChangeAspect="1"/>
                  </xdr:cNvGrpSpPr>
                </xdr:nvGrpSpPr>
                <xdr:grpSpPr bwMode="auto">
                  <a:xfrm>
                    <a:off x="107780011" y="110414749"/>
                    <a:ext cx="4152027" cy="4098809"/>
                    <a:chOff x="107780011" y="110414749"/>
                    <a:chExt cx="4152027" cy="4098809"/>
                  </a:xfrm>
                </xdr:grpSpPr>
                <xdr:grpSp>
                  <xdr:nvGrpSpPr>
                    <xdr:cNvPr id="2746" name="Group 698">
                      <a:extLst>
                        <a:ext uri="{FF2B5EF4-FFF2-40B4-BE49-F238E27FC236}">
                          <a16:creationId xmlns="" xmlns:a16="http://schemas.microsoft.com/office/drawing/2014/main" id="{00000000-0008-0000-0300-0000BA0A0000}"/>
                        </a:ext>
                      </a:extLst>
                    </xdr:cNvPr>
                    <xdr:cNvGrpSpPr>
                      <a:grpSpLocks noChangeAspect="1"/>
                    </xdr:cNvGrpSpPr>
                  </xdr:nvGrpSpPr>
                  <xdr:grpSpPr bwMode="auto">
                    <a:xfrm>
                      <a:off x="107780011" y="110414749"/>
                      <a:ext cx="4152027" cy="4098809"/>
                      <a:chOff x="107784874" y="110414749"/>
                      <a:chExt cx="4152027" cy="4098809"/>
                    </a:xfrm>
                  </xdr:grpSpPr>
                  <xdr:sp macro="" textlink="">
                    <xdr:nvSpPr>
                      <xdr:cNvPr id="2747" name="Freeform 699">
                        <a:extLst>
                          <a:ext uri="{FF2B5EF4-FFF2-40B4-BE49-F238E27FC236}">
                            <a16:creationId xmlns="" xmlns:a16="http://schemas.microsoft.com/office/drawing/2014/main" id="{00000000-0008-0000-0300-0000BB0A0000}"/>
                          </a:ext>
                        </a:extLst>
                      </xdr:cNvPr>
                      <xdr:cNvSpPr>
                        <a:spLocks noChangeAspect="1"/>
                      </xdr:cNvSpPr>
                    </xdr:nvSpPr>
                    <xdr:spPr bwMode="auto">
                      <a:xfrm>
                        <a:off x="108447840" y="110515321"/>
                        <a:ext cx="2710618" cy="3830319"/>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cap="flat" cmpd="sng" algn="ctr">
                        <a:solidFill>
                          <a:srgbClr val="000000"/>
                        </a:solidFill>
                        <a:prstDash val="solid"/>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2748" name="AutoShape 700">
                        <a:extLst>
                          <a:ext uri="{FF2B5EF4-FFF2-40B4-BE49-F238E27FC236}">
                            <a16:creationId xmlns="" xmlns:a16="http://schemas.microsoft.com/office/drawing/2014/main" id="{00000000-0008-0000-0300-0000BC0A0000}"/>
                          </a:ext>
                        </a:extLst>
                      </xdr:cNvPr>
                      <xdr:cNvCxnSpPr>
                        <a:cxnSpLocks noChangeAspect="1" noChangeShapeType="1"/>
                      </xdr:cNvCxnSpPr>
                    </xdr:nvCxnSpPr>
                    <xdr:spPr bwMode="auto">
                      <a:xfrm>
                        <a:off x="107784874" y="110414749"/>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49" name="AutoShape 701">
                        <a:extLst>
                          <a:ext uri="{FF2B5EF4-FFF2-40B4-BE49-F238E27FC236}">
                            <a16:creationId xmlns="" xmlns:a16="http://schemas.microsoft.com/office/drawing/2014/main" id="{00000000-0008-0000-0300-0000BD0A0000}"/>
                          </a:ext>
                        </a:extLst>
                      </xdr:cNvPr>
                      <xdr:cNvCxnSpPr>
                        <a:cxnSpLocks noChangeAspect="1" noChangeShapeType="1"/>
                      </xdr:cNvCxnSpPr>
                    </xdr:nvCxnSpPr>
                    <xdr:spPr bwMode="auto">
                      <a:xfrm>
                        <a:off x="107784874" y="11061927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0" name="AutoShape 702">
                        <a:extLst>
                          <a:ext uri="{FF2B5EF4-FFF2-40B4-BE49-F238E27FC236}">
                            <a16:creationId xmlns="" xmlns:a16="http://schemas.microsoft.com/office/drawing/2014/main" id="{00000000-0008-0000-0300-0000BE0A0000}"/>
                          </a:ext>
                        </a:extLst>
                      </xdr:cNvPr>
                      <xdr:cNvCxnSpPr>
                        <a:cxnSpLocks noChangeAspect="1" noChangeShapeType="1"/>
                      </xdr:cNvCxnSpPr>
                    </xdr:nvCxnSpPr>
                    <xdr:spPr bwMode="auto">
                      <a:xfrm>
                        <a:off x="107784874" y="11082379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1" name="AutoShape 703">
                        <a:extLst>
                          <a:ext uri="{FF2B5EF4-FFF2-40B4-BE49-F238E27FC236}">
                            <a16:creationId xmlns="" xmlns:a16="http://schemas.microsoft.com/office/drawing/2014/main" id="{00000000-0008-0000-0300-0000BF0A0000}"/>
                          </a:ext>
                        </a:extLst>
                      </xdr:cNvPr>
                      <xdr:cNvCxnSpPr>
                        <a:cxnSpLocks noChangeAspect="1" noChangeShapeType="1"/>
                      </xdr:cNvCxnSpPr>
                    </xdr:nvCxnSpPr>
                    <xdr:spPr bwMode="auto">
                      <a:xfrm>
                        <a:off x="107784874" y="11102832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2" name="AutoShape 704">
                        <a:extLst>
                          <a:ext uri="{FF2B5EF4-FFF2-40B4-BE49-F238E27FC236}">
                            <a16:creationId xmlns="" xmlns:a16="http://schemas.microsoft.com/office/drawing/2014/main" id="{00000000-0008-0000-0300-0000C00A0000}"/>
                          </a:ext>
                        </a:extLst>
                      </xdr:cNvPr>
                      <xdr:cNvCxnSpPr>
                        <a:cxnSpLocks noChangeAspect="1" noChangeShapeType="1"/>
                      </xdr:cNvCxnSpPr>
                    </xdr:nvCxnSpPr>
                    <xdr:spPr bwMode="auto">
                      <a:xfrm>
                        <a:off x="107784874" y="11123284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3" name="AutoShape 705">
                        <a:extLst>
                          <a:ext uri="{FF2B5EF4-FFF2-40B4-BE49-F238E27FC236}">
                            <a16:creationId xmlns="" xmlns:a16="http://schemas.microsoft.com/office/drawing/2014/main" id="{00000000-0008-0000-0300-0000C10A0000}"/>
                          </a:ext>
                        </a:extLst>
                      </xdr:cNvPr>
                      <xdr:cNvCxnSpPr>
                        <a:cxnSpLocks noChangeAspect="1" noChangeShapeType="1"/>
                      </xdr:cNvCxnSpPr>
                    </xdr:nvCxnSpPr>
                    <xdr:spPr bwMode="auto">
                      <a:xfrm>
                        <a:off x="107784874" y="11143737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4" name="AutoShape 706">
                        <a:extLst>
                          <a:ext uri="{FF2B5EF4-FFF2-40B4-BE49-F238E27FC236}">
                            <a16:creationId xmlns="" xmlns:a16="http://schemas.microsoft.com/office/drawing/2014/main" id="{00000000-0008-0000-0300-0000C20A0000}"/>
                          </a:ext>
                        </a:extLst>
                      </xdr:cNvPr>
                      <xdr:cNvCxnSpPr>
                        <a:cxnSpLocks noChangeAspect="1" noChangeShapeType="1"/>
                      </xdr:cNvCxnSpPr>
                    </xdr:nvCxnSpPr>
                    <xdr:spPr bwMode="auto">
                      <a:xfrm>
                        <a:off x="107784874" y="11164189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5" name="AutoShape 707">
                        <a:extLst>
                          <a:ext uri="{FF2B5EF4-FFF2-40B4-BE49-F238E27FC236}">
                            <a16:creationId xmlns="" xmlns:a16="http://schemas.microsoft.com/office/drawing/2014/main" id="{00000000-0008-0000-0300-0000C30A0000}"/>
                          </a:ext>
                        </a:extLst>
                      </xdr:cNvPr>
                      <xdr:cNvCxnSpPr>
                        <a:cxnSpLocks noChangeAspect="1" noChangeShapeType="1"/>
                      </xdr:cNvCxnSpPr>
                    </xdr:nvCxnSpPr>
                    <xdr:spPr bwMode="auto">
                      <a:xfrm>
                        <a:off x="107784874" y="11184642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6" name="AutoShape 708">
                        <a:extLst>
                          <a:ext uri="{FF2B5EF4-FFF2-40B4-BE49-F238E27FC236}">
                            <a16:creationId xmlns="" xmlns:a16="http://schemas.microsoft.com/office/drawing/2014/main" id="{00000000-0008-0000-0300-0000C40A0000}"/>
                          </a:ext>
                        </a:extLst>
                      </xdr:cNvPr>
                      <xdr:cNvCxnSpPr>
                        <a:cxnSpLocks noChangeAspect="1" noChangeShapeType="1"/>
                      </xdr:cNvCxnSpPr>
                    </xdr:nvCxnSpPr>
                    <xdr:spPr bwMode="auto">
                      <a:xfrm>
                        <a:off x="107784874" y="112046251"/>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7" name="AutoShape 709">
                        <a:extLst>
                          <a:ext uri="{FF2B5EF4-FFF2-40B4-BE49-F238E27FC236}">
                            <a16:creationId xmlns="" xmlns:a16="http://schemas.microsoft.com/office/drawing/2014/main" id="{00000000-0008-0000-0300-0000C50A0000}"/>
                          </a:ext>
                        </a:extLst>
                      </xdr:cNvPr>
                      <xdr:cNvCxnSpPr>
                        <a:cxnSpLocks noChangeAspect="1" noChangeShapeType="1"/>
                      </xdr:cNvCxnSpPr>
                    </xdr:nvCxnSpPr>
                    <xdr:spPr bwMode="auto">
                      <a:xfrm>
                        <a:off x="107784874" y="112250775"/>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8" name="AutoShape 710">
                        <a:extLst>
                          <a:ext uri="{FF2B5EF4-FFF2-40B4-BE49-F238E27FC236}">
                            <a16:creationId xmlns="" xmlns:a16="http://schemas.microsoft.com/office/drawing/2014/main" id="{00000000-0008-0000-0300-0000C60A0000}"/>
                          </a:ext>
                        </a:extLst>
                      </xdr:cNvPr>
                      <xdr:cNvCxnSpPr>
                        <a:cxnSpLocks noChangeAspect="1" noChangeShapeType="1"/>
                      </xdr:cNvCxnSpPr>
                    </xdr:nvCxnSpPr>
                    <xdr:spPr bwMode="auto">
                      <a:xfrm>
                        <a:off x="107784874" y="112455300"/>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9" name="AutoShape 711">
                        <a:extLst>
                          <a:ext uri="{FF2B5EF4-FFF2-40B4-BE49-F238E27FC236}">
                            <a16:creationId xmlns="" xmlns:a16="http://schemas.microsoft.com/office/drawing/2014/main" id="{00000000-0008-0000-0300-0000C70A0000}"/>
                          </a:ext>
                        </a:extLst>
                      </xdr:cNvPr>
                      <xdr:cNvCxnSpPr>
                        <a:cxnSpLocks noChangeAspect="1" noChangeShapeType="1"/>
                      </xdr:cNvCxnSpPr>
                    </xdr:nvCxnSpPr>
                    <xdr:spPr bwMode="auto">
                      <a:xfrm>
                        <a:off x="107784874" y="112659825"/>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0" name="AutoShape 712">
                        <a:extLst>
                          <a:ext uri="{FF2B5EF4-FFF2-40B4-BE49-F238E27FC236}">
                            <a16:creationId xmlns="" xmlns:a16="http://schemas.microsoft.com/office/drawing/2014/main" id="{00000000-0008-0000-0300-0000C80A0000}"/>
                          </a:ext>
                        </a:extLst>
                      </xdr:cNvPr>
                      <xdr:cNvCxnSpPr>
                        <a:cxnSpLocks noChangeAspect="1" noChangeShapeType="1"/>
                      </xdr:cNvCxnSpPr>
                    </xdr:nvCxnSpPr>
                    <xdr:spPr bwMode="auto">
                      <a:xfrm>
                        <a:off x="107784874" y="11285296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1" name="AutoShape 713">
                        <a:extLst>
                          <a:ext uri="{FF2B5EF4-FFF2-40B4-BE49-F238E27FC236}">
                            <a16:creationId xmlns="" xmlns:a16="http://schemas.microsoft.com/office/drawing/2014/main" id="{00000000-0008-0000-0300-0000C90A0000}"/>
                          </a:ext>
                        </a:extLst>
                      </xdr:cNvPr>
                      <xdr:cNvCxnSpPr>
                        <a:cxnSpLocks noChangeAspect="1" noChangeShapeType="1"/>
                      </xdr:cNvCxnSpPr>
                    </xdr:nvCxnSpPr>
                    <xdr:spPr bwMode="auto">
                      <a:xfrm>
                        <a:off x="107784874" y="11305749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2" name="AutoShape 714">
                        <a:extLst>
                          <a:ext uri="{FF2B5EF4-FFF2-40B4-BE49-F238E27FC236}">
                            <a16:creationId xmlns="" xmlns:a16="http://schemas.microsoft.com/office/drawing/2014/main" id="{00000000-0008-0000-0300-0000CA0A0000}"/>
                          </a:ext>
                        </a:extLst>
                      </xdr:cNvPr>
                      <xdr:cNvCxnSpPr>
                        <a:cxnSpLocks noChangeAspect="1" noChangeShapeType="1"/>
                      </xdr:cNvCxnSpPr>
                    </xdr:nvCxnSpPr>
                    <xdr:spPr bwMode="auto">
                      <a:xfrm>
                        <a:off x="107784874" y="11326201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3" name="AutoShape 715">
                        <a:extLst>
                          <a:ext uri="{FF2B5EF4-FFF2-40B4-BE49-F238E27FC236}">
                            <a16:creationId xmlns="" xmlns:a16="http://schemas.microsoft.com/office/drawing/2014/main" id="{00000000-0008-0000-0300-0000CB0A0000}"/>
                          </a:ext>
                        </a:extLst>
                      </xdr:cNvPr>
                      <xdr:cNvCxnSpPr>
                        <a:cxnSpLocks noChangeAspect="1" noChangeShapeType="1"/>
                      </xdr:cNvCxnSpPr>
                    </xdr:nvCxnSpPr>
                    <xdr:spPr bwMode="auto">
                      <a:xfrm>
                        <a:off x="107784874" y="11346654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4" name="AutoShape 716">
                        <a:extLst>
                          <a:ext uri="{FF2B5EF4-FFF2-40B4-BE49-F238E27FC236}">
                            <a16:creationId xmlns="" xmlns:a16="http://schemas.microsoft.com/office/drawing/2014/main" id="{00000000-0008-0000-0300-0000CC0A0000}"/>
                          </a:ext>
                        </a:extLst>
                      </xdr:cNvPr>
                      <xdr:cNvCxnSpPr>
                        <a:cxnSpLocks noChangeAspect="1" noChangeShapeType="1"/>
                      </xdr:cNvCxnSpPr>
                    </xdr:nvCxnSpPr>
                    <xdr:spPr bwMode="auto">
                      <a:xfrm>
                        <a:off x="107786056" y="11365751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5" name="AutoShape 717">
                        <a:extLst>
                          <a:ext uri="{FF2B5EF4-FFF2-40B4-BE49-F238E27FC236}">
                            <a16:creationId xmlns="" xmlns:a16="http://schemas.microsoft.com/office/drawing/2014/main" id="{00000000-0008-0000-0300-0000CD0A0000}"/>
                          </a:ext>
                        </a:extLst>
                      </xdr:cNvPr>
                      <xdr:cNvCxnSpPr>
                        <a:cxnSpLocks noChangeAspect="1" noChangeShapeType="1"/>
                      </xdr:cNvCxnSpPr>
                    </xdr:nvCxnSpPr>
                    <xdr:spPr bwMode="auto">
                      <a:xfrm>
                        <a:off x="107786056" y="113862042"/>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6" name="AutoShape 718">
                        <a:extLst>
                          <a:ext uri="{FF2B5EF4-FFF2-40B4-BE49-F238E27FC236}">
                            <a16:creationId xmlns="" xmlns:a16="http://schemas.microsoft.com/office/drawing/2014/main" id="{00000000-0008-0000-0300-0000CE0A0000}"/>
                          </a:ext>
                        </a:extLst>
                      </xdr:cNvPr>
                      <xdr:cNvCxnSpPr>
                        <a:cxnSpLocks noChangeAspect="1" noChangeShapeType="1"/>
                      </xdr:cNvCxnSpPr>
                    </xdr:nvCxnSpPr>
                    <xdr:spPr bwMode="auto">
                      <a:xfrm>
                        <a:off x="107786056" y="114066567"/>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7" name="AutoShape 719">
                        <a:extLst>
                          <a:ext uri="{FF2B5EF4-FFF2-40B4-BE49-F238E27FC236}">
                            <a16:creationId xmlns="" xmlns:a16="http://schemas.microsoft.com/office/drawing/2014/main" id="{00000000-0008-0000-0300-0000CF0A0000}"/>
                          </a:ext>
                        </a:extLst>
                      </xdr:cNvPr>
                      <xdr:cNvCxnSpPr>
                        <a:cxnSpLocks noChangeAspect="1" noChangeShapeType="1"/>
                      </xdr:cNvCxnSpPr>
                    </xdr:nvCxnSpPr>
                    <xdr:spPr bwMode="auto">
                      <a:xfrm>
                        <a:off x="107786056" y="114271092"/>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8" name="AutoShape 720">
                        <a:extLst>
                          <a:ext uri="{FF2B5EF4-FFF2-40B4-BE49-F238E27FC236}">
                            <a16:creationId xmlns="" xmlns:a16="http://schemas.microsoft.com/office/drawing/2014/main" id="{00000000-0008-0000-0300-0000D00A0000}"/>
                          </a:ext>
                        </a:extLst>
                      </xdr:cNvPr>
                      <xdr:cNvCxnSpPr>
                        <a:cxnSpLocks noChangeAspect="1" noChangeShapeType="1"/>
                      </xdr:cNvCxnSpPr>
                    </xdr:nvCxnSpPr>
                    <xdr:spPr bwMode="auto">
                      <a:xfrm>
                        <a:off x="107786056" y="114475617"/>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9" name="AutoShape 721">
                        <a:extLst>
                          <a:ext uri="{FF2B5EF4-FFF2-40B4-BE49-F238E27FC236}">
                            <a16:creationId xmlns="" xmlns:a16="http://schemas.microsoft.com/office/drawing/2014/main" id="{00000000-0008-0000-0300-0000D10A0000}"/>
                          </a:ext>
                        </a:extLst>
                      </xdr:cNvPr>
                      <xdr:cNvCxnSpPr>
                        <a:cxnSpLocks noChangeAspect="1" noChangeShapeType="1"/>
                      </xdr:cNvCxnSpPr>
                    </xdr:nvCxnSpPr>
                    <xdr:spPr bwMode="auto">
                      <a:xfrm flipH="1">
                        <a:off x="109576772" y="111395022"/>
                        <a:ext cx="10551" cy="309489"/>
                      </a:xfrm>
                      <a:prstGeom prst="straightConnector1">
                        <a:avLst/>
                      </a:prstGeom>
                      <a:noFill/>
                      <a:ln w="88900" algn="ctr">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0" name="AutoShape 722">
                        <a:extLst>
                          <a:ext uri="{FF2B5EF4-FFF2-40B4-BE49-F238E27FC236}">
                            <a16:creationId xmlns="" xmlns:a16="http://schemas.microsoft.com/office/drawing/2014/main" id="{00000000-0008-0000-0300-0000D20A0000}"/>
                          </a:ext>
                        </a:extLst>
                      </xdr:cNvPr>
                      <xdr:cNvCxnSpPr>
                        <a:cxnSpLocks noChangeAspect="1" noChangeShapeType="1"/>
                      </xdr:cNvCxnSpPr>
                    </xdr:nvCxnSpPr>
                    <xdr:spPr bwMode="auto">
                      <a:xfrm flipV="1">
                        <a:off x="109807131" y="112098630"/>
                        <a:ext cx="66821" cy="313007"/>
                      </a:xfrm>
                      <a:prstGeom prst="straightConnector1">
                        <a:avLst/>
                      </a:prstGeom>
                      <a:noFill/>
                      <a:ln w="88900" algn="ctr">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1" name="AutoShape 723">
                        <a:extLst>
                          <a:ext uri="{FF2B5EF4-FFF2-40B4-BE49-F238E27FC236}">
                            <a16:creationId xmlns="" xmlns:a16="http://schemas.microsoft.com/office/drawing/2014/main" id="{00000000-0008-0000-0300-0000D30A0000}"/>
                          </a:ext>
                        </a:extLst>
                      </xdr:cNvPr>
                      <xdr:cNvCxnSpPr>
                        <a:cxnSpLocks noChangeAspect="1" noChangeShapeType="1"/>
                      </xdr:cNvCxnSpPr>
                    </xdr:nvCxnSpPr>
                    <xdr:spPr bwMode="auto">
                      <a:xfrm flipV="1">
                        <a:off x="110519307" y="112863561"/>
                        <a:ext cx="28135" cy="516989"/>
                      </a:xfrm>
                      <a:prstGeom prst="straightConnector1">
                        <a:avLst/>
                      </a:prstGeom>
                      <a:noFill/>
                      <a:ln w="88900" algn="ctr">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2" name="AutoShape 724">
                        <a:extLst>
                          <a:ext uri="{FF2B5EF4-FFF2-40B4-BE49-F238E27FC236}">
                            <a16:creationId xmlns="" xmlns:a16="http://schemas.microsoft.com/office/drawing/2014/main" id="{00000000-0008-0000-0300-0000D40A0000}"/>
                          </a:ext>
                        </a:extLst>
                      </xdr:cNvPr>
                      <xdr:cNvCxnSpPr>
                        <a:cxnSpLocks noChangeAspect="1" noChangeShapeType="1"/>
                      </xdr:cNvCxnSpPr>
                    </xdr:nvCxnSpPr>
                    <xdr:spPr bwMode="auto">
                      <a:xfrm flipV="1">
                        <a:off x="108319307" y="112852968"/>
                        <a:ext cx="279937" cy="147"/>
                      </a:xfrm>
                      <a:prstGeom prst="straightConnector1">
                        <a:avLst/>
                      </a:prstGeom>
                      <a:noFill/>
                      <a:ln w="31750" algn="ctr">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3" name="AutoShape 725">
                        <a:extLst>
                          <a:ext uri="{FF2B5EF4-FFF2-40B4-BE49-F238E27FC236}">
                            <a16:creationId xmlns="" xmlns:a16="http://schemas.microsoft.com/office/drawing/2014/main" id="{00000000-0008-0000-0300-0000D50A0000}"/>
                          </a:ext>
                        </a:extLst>
                      </xdr:cNvPr>
                      <xdr:cNvCxnSpPr>
                        <a:cxnSpLocks noChangeAspect="1" noChangeShapeType="1"/>
                      </xdr:cNvCxnSpPr>
                    </xdr:nvCxnSpPr>
                    <xdr:spPr bwMode="auto">
                      <a:xfrm flipH="1">
                        <a:off x="109572596" y="111700337"/>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4" name="AutoShape 726">
                        <a:extLst>
                          <a:ext uri="{FF2B5EF4-FFF2-40B4-BE49-F238E27FC236}">
                            <a16:creationId xmlns="" xmlns:a16="http://schemas.microsoft.com/office/drawing/2014/main" id="{00000000-0008-0000-0300-0000D60A0000}"/>
                          </a:ext>
                        </a:extLst>
                      </xdr:cNvPr>
                      <xdr:cNvCxnSpPr>
                        <a:cxnSpLocks noChangeAspect="1" noChangeShapeType="1"/>
                      </xdr:cNvCxnSpPr>
                    </xdr:nvCxnSpPr>
                    <xdr:spPr bwMode="auto">
                      <a:xfrm flipH="1">
                        <a:off x="109576772" y="111544275"/>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5" name="AutoShape 727">
                        <a:extLst>
                          <a:ext uri="{FF2B5EF4-FFF2-40B4-BE49-F238E27FC236}">
                            <a16:creationId xmlns="" xmlns:a16="http://schemas.microsoft.com/office/drawing/2014/main" id="{00000000-0008-0000-0300-0000D70A0000}"/>
                          </a:ext>
                        </a:extLst>
                      </xdr:cNvPr>
                      <xdr:cNvCxnSpPr>
                        <a:cxnSpLocks noChangeAspect="1" noChangeShapeType="1"/>
                      </xdr:cNvCxnSpPr>
                    </xdr:nvCxnSpPr>
                    <xdr:spPr bwMode="auto">
                      <a:xfrm flipH="1">
                        <a:off x="109576772" y="11139370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6" name="AutoShape 728">
                        <a:extLst>
                          <a:ext uri="{FF2B5EF4-FFF2-40B4-BE49-F238E27FC236}">
                            <a16:creationId xmlns="" xmlns:a16="http://schemas.microsoft.com/office/drawing/2014/main" id="{00000000-0008-0000-0300-0000D80A0000}"/>
                          </a:ext>
                        </a:extLst>
                      </xdr:cNvPr>
                      <xdr:cNvCxnSpPr>
                        <a:cxnSpLocks noChangeAspect="1" noChangeShapeType="1"/>
                      </xdr:cNvCxnSpPr>
                    </xdr:nvCxnSpPr>
                    <xdr:spPr bwMode="auto">
                      <a:xfrm flipH="1">
                        <a:off x="109631967" y="11127078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7" name="AutoShape 729">
                        <a:extLst>
                          <a:ext uri="{FF2B5EF4-FFF2-40B4-BE49-F238E27FC236}">
                            <a16:creationId xmlns="" xmlns:a16="http://schemas.microsoft.com/office/drawing/2014/main" id="{00000000-0008-0000-0300-0000D90A0000}"/>
                          </a:ext>
                        </a:extLst>
                      </xdr:cNvPr>
                      <xdr:cNvCxnSpPr>
                        <a:cxnSpLocks noChangeAspect="1" noChangeShapeType="1"/>
                      </xdr:cNvCxnSpPr>
                    </xdr:nvCxnSpPr>
                    <xdr:spPr bwMode="auto">
                      <a:xfrm flipH="1">
                        <a:off x="109890838" y="111114215"/>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8" name="AutoShape 730">
                        <a:extLst>
                          <a:ext uri="{FF2B5EF4-FFF2-40B4-BE49-F238E27FC236}">
                            <a16:creationId xmlns="" xmlns:a16="http://schemas.microsoft.com/office/drawing/2014/main" id="{00000000-0008-0000-0300-0000DA0A0000}"/>
                          </a:ext>
                        </a:extLst>
                      </xdr:cNvPr>
                      <xdr:cNvCxnSpPr>
                        <a:cxnSpLocks noChangeAspect="1" noChangeShapeType="1"/>
                      </xdr:cNvCxnSpPr>
                    </xdr:nvCxnSpPr>
                    <xdr:spPr bwMode="auto">
                      <a:xfrm flipH="1">
                        <a:off x="109611091" y="110529667"/>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9" name="AutoShape 731">
                        <a:extLst>
                          <a:ext uri="{FF2B5EF4-FFF2-40B4-BE49-F238E27FC236}">
                            <a16:creationId xmlns="" xmlns:a16="http://schemas.microsoft.com/office/drawing/2014/main" id="{00000000-0008-0000-0300-0000DB0A0000}"/>
                          </a:ext>
                        </a:extLst>
                      </xdr:cNvPr>
                      <xdr:cNvCxnSpPr>
                        <a:cxnSpLocks noChangeAspect="1" noChangeShapeType="1"/>
                      </xdr:cNvCxnSpPr>
                    </xdr:nvCxnSpPr>
                    <xdr:spPr bwMode="auto">
                      <a:xfrm flipH="1">
                        <a:off x="108487923" y="111501748"/>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xnSp macro="">
                  <xdr:nvCxnSpPr>
                    <xdr:cNvPr id="2780" name="AutoShape 732">
                      <a:extLst>
                        <a:ext uri="{FF2B5EF4-FFF2-40B4-BE49-F238E27FC236}">
                          <a16:creationId xmlns="" xmlns:a16="http://schemas.microsoft.com/office/drawing/2014/main" id="{00000000-0008-0000-0300-0000DC0A0000}"/>
                        </a:ext>
                      </a:extLst>
                    </xdr:cNvPr>
                    <xdr:cNvCxnSpPr>
                      <a:cxnSpLocks noChangeAspect="1" noChangeShapeType="1"/>
                    </xdr:cNvCxnSpPr>
                  </xdr:nvCxnSpPr>
                  <xdr:spPr bwMode="auto">
                    <a:xfrm flipH="1">
                      <a:off x="109667040" y="11401873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1" name="AutoShape 733">
                      <a:extLst>
                        <a:ext uri="{FF2B5EF4-FFF2-40B4-BE49-F238E27FC236}">
                          <a16:creationId xmlns="" xmlns:a16="http://schemas.microsoft.com/office/drawing/2014/main" id="{00000000-0008-0000-0300-0000DD0A0000}"/>
                        </a:ext>
                      </a:extLst>
                    </xdr:cNvPr>
                    <xdr:cNvCxnSpPr>
                      <a:cxnSpLocks noChangeAspect="1" noChangeShapeType="1"/>
                    </xdr:cNvCxnSpPr>
                  </xdr:nvCxnSpPr>
                  <xdr:spPr bwMode="auto">
                    <a:xfrm flipH="1">
                      <a:off x="109611091" y="113391586"/>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2" name="AutoShape 734">
                      <a:extLst>
                        <a:ext uri="{FF2B5EF4-FFF2-40B4-BE49-F238E27FC236}">
                          <a16:creationId xmlns="" xmlns:a16="http://schemas.microsoft.com/office/drawing/2014/main" id="{00000000-0008-0000-0300-0000DE0A0000}"/>
                        </a:ext>
                      </a:extLst>
                    </xdr:cNvPr>
                    <xdr:cNvCxnSpPr>
                      <a:cxnSpLocks noChangeAspect="1" noChangeShapeType="1"/>
                    </xdr:cNvCxnSpPr>
                  </xdr:nvCxnSpPr>
                  <xdr:spPr bwMode="auto">
                    <a:xfrm flipH="1">
                      <a:off x="109369129" y="114020817"/>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3" name="AutoShape 735">
                      <a:extLst>
                        <a:ext uri="{FF2B5EF4-FFF2-40B4-BE49-F238E27FC236}">
                          <a16:creationId xmlns="" xmlns:a16="http://schemas.microsoft.com/office/drawing/2014/main" id="{00000000-0008-0000-0300-0000DF0A0000}"/>
                        </a:ext>
                      </a:extLst>
                    </xdr:cNvPr>
                    <xdr:cNvCxnSpPr>
                      <a:cxnSpLocks noChangeAspect="1" noChangeShapeType="1"/>
                    </xdr:cNvCxnSpPr>
                  </xdr:nvCxnSpPr>
                  <xdr:spPr bwMode="auto">
                    <a:xfrm flipH="1">
                      <a:off x="109719649" y="112670226"/>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4" name="AutoShape 736">
                      <a:extLst>
                        <a:ext uri="{FF2B5EF4-FFF2-40B4-BE49-F238E27FC236}">
                          <a16:creationId xmlns="" xmlns:a16="http://schemas.microsoft.com/office/drawing/2014/main" id="{00000000-0008-0000-0300-0000E00A0000}"/>
                        </a:ext>
                      </a:extLst>
                    </xdr:cNvPr>
                    <xdr:cNvCxnSpPr>
                      <a:cxnSpLocks noChangeAspect="1" noChangeShapeType="1"/>
                    </xdr:cNvCxnSpPr>
                  </xdr:nvCxnSpPr>
                  <xdr:spPr bwMode="auto">
                    <a:xfrm flipH="1">
                      <a:off x="109798092" y="11240955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5" name="AutoShape 737">
                      <a:extLst>
                        <a:ext uri="{FF2B5EF4-FFF2-40B4-BE49-F238E27FC236}">
                          <a16:creationId xmlns="" xmlns:a16="http://schemas.microsoft.com/office/drawing/2014/main" id="{00000000-0008-0000-0300-0000E10A0000}"/>
                        </a:ext>
                      </a:extLst>
                    </xdr:cNvPr>
                    <xdr:cNvCxnSpPr>
                      <a:cxnSpLocks noChangeAspect="1" noChangeShapeType="1"/>
                    </xdr:cNvCxnSpPr>
                  </xdr:nvCxnSpPr>
                  <xdr:spPr bwMode="auto">
                    <a:xfrm flipH="1">
                      <a:off x="109831409" y="11225784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6" name="AutoShape 738">
                      <a:extLst>
                        <a:ext uri="{FF2B5EF4-FFF2-40B4-BE49-F238E27FC236}">
                          <a16:creationId xmlns="" xmlns:a16="http://schemas.microsoft.com/office/drawing/2014/main" id="{00000000-0008-0000-0300-0000E20A0000}"/>
                        </a:ext>
                      </a:extLst>
                    </xdr:cNvPr>
                    <xdr:cNvCxnSpPr>
                      <a:cxnSpLocks noChangeAspect="1" noChangeShapeType="1"/>
                    </xdr:cNvCxnSpPr>
                  </xdr:nvCxnSpPr>
                  <xdr:spPr bwMode="auto">
                    <a:xfrm flipH="1">
                      <a:off x="109860738" y="112084192"/>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7" name="AutoShape 739">
                      <a:extLst>
                        <a:ext uri="{FF2B5EF4-FFF2-40B4-BE49-F238E27FC236}">
                          <a16:creationId xmlns="" xmlns:a16="http://schemas.microsoft.com/office/drawing/2014/main" id="{00000000-0008-0000-0300-0000E30A0000}"/>
                        </a:ext>
                      </a:extLst>
                    </xdr:cNvPr>
                    <xdr:cNvCxnSpPr>
                      <a:cxnSpLocks noChangeAspect="1" noChangeShapeType="1"/>
                    </xdr:cNvCxnSpPr>
                  </xdr:nvCxnSpPr>
                  <xdr:spPr bwMode="auto">
                    <a:xfrm flipH="1">
                      <a:off x="110359729" y="11090656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8" name="AutoShape 740">
                      <a:extLst>
                        <a:ext uri="{FF2B5EF4-FFF2-40B4-BE49-F238E27FC236}">
                          <a16:creationId xmlns="" xmlns:a16="http://schemas.microsoft.com/office/drawing/2014/main" id="{00000000-0008-0000-0300-0000E40A0000}"/>
                        </a:ext>
                      </a:extLst>
                    </xdr:cNvPr>
                    <xdr:cNvCxnSpPr>
                      <a:cxnSpLocks noChangeAspect="1" noChangeShapeType="1"/>
                    </xdr:cNvCxnSpPr>
                  </xdr:nvCxnSpPr>
                  <xdr:spPr bwMode="auto">
                    <a:xfrm flipH="1">
                      <a:off x="111107892" y="11112557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9" name="AutoShape 741">
                      <a:extLst>
                        <a:ext uri="{FF2B5EF4-FFF2-40B4-BE49-F238E27FC236}">
                          <a16:creationId xmlns="" xmlns:a16="http://schemas.microsoft.com/office/drawing/2014/main" id="{00000000-0008-0000-0300-0000E50A0000}"/>
                        </a:ext>
                      </a:extLst>
                    </xdr:cNvPr>
                    <xdr:cNvCxnSpPr>
                      <a:cxnSpLocks noChangeAspect="1" noChangeShapeType="1"/>
                    </xdr:cNvCxnSpPr>
                  </xdr:nvCxnSpPr>
                  <xdr:spPr bwMode="auto">
                    <a:xfrm flipH="1">
                      <a:off x="110622080" y="11161268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0" name="AutoShape 742">
                      <a:extLst>
                        <a:ext uri="{FF2B5EF4-FFF2-40B4-BE49-F238E27FC236}">
                          <a16:creationId xmlns="" xmlns:a16="http://schemas.microsoft.com/office/drawing/2014/main" id="{00000000-0008-0000-0300-0000E60A0000}"/>
                        </a:ext>
                      </a:extLst>
                    </xdr:cNvPr>
                    <xdr:cNvCxnSpPr>
                      <a:cxnSpLocks noChangeAspect="1" noChangeShapeType="1"/>
                    </xdr:cNvCxnSpPr>
                  </xdr:nvCxnSpPr>
                  <xdr:spPr bwMode="auto">
                    <a:xfrm flipH="1">
                      <a:off x="110539308" y="11259765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1" name="AutoShape 743">
                      <a:extLst>
                        <a:ext uri="{FF2B5EF4-FFF2-40B4-BE49-F238E27FC236}">
                          <a16:creationId xmlns="" xmlns:a16="http://schemas.microsoft.com/office/drawing/2014/main" id="{00000000-0008-0000-0300-0000E70A0000}"/>
                        </a:ext>
                      </a:extLst>
                    </xdr:cNvPr>
                    <xdr:cNvCxnSpPr>
                      <a:cxnSpLocks noChangeAspect="1" noChangeShapeType="1"/>
                    </xdr:cNvCxnSpPr>
                  </xdr:nvCxnSpPr>
                  <xdr:spPr bwMode="auto">
                    <a:xfrm flipH="1">
                      <a:off x="110537499" y="112852968"/>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2" name="AutoShape 744">
                      <a:extLst>
                        <a:ext uri="{FF2B5EF4-FFF2-40B4-BE49-F238E27FC236}">
                          <a16:creationId xmlns="" xmlns:a16="http://schemas.microsoft.com/office/drawing/2014/main" id="{00000000-0008-0000-0300-0000E80A0000}"/>
                        </a:ext>
                      </a:extLst>
                    </xdr:cNvPr>
                    <xdr:cNvCxnSpPr>
                      <a:cxnSpLocks noChangeAspect="1" noChangeShapeType="1"/>
                    </xdr:cNvCxnSpPr>
                  </xdr:nvCxnSpPr>
                  <xdr:spPr bwMode="auto">
                    <a:xfrm flipH="1">
                      <a:off x="110523163" y="11310821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3" name="AutoShape 745">
                      <a:extLst>
                        <a:ext uri="{FF2B5EF4-FFF2-40B4-BE49-F238E27FC236}">
                          <a16:creationId xmlns="" xmlns:a16="http://schemas.microsoft.com/office/drawing/2014/main" id="{00000000-0008-0000-0300-0000E90A0000}"/>
                        </a:ext>
                      </a:extLst>
                    </xdr:cNvPr>
                    <xdr:cNvCxnSpPr>
                      <a:cxnSpLocks noChangeAspect="1" noChangeShapeType="1"/>
                    </xdr:cNvCxnSpPr>
                  </xdr:nvCxnSpPr>
                  <xdr:spPr bwMode="auto">
                    <a:xfrm flipH="1">
                      <a:off x="110506093" y="11337737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4" name="AutoShape 746">
                      <a:extLst>
                        <a:ext uri="{FF2B5EF4-FFF2-40B4-BE49-F238E27FC236}">
                          <a16:creationId xmlns="" xmlns:a16="http://schemas.microsoft.com/office/drawing/2014/main" id="{00000000-0008-0000-0300-0000EA0A0000}"/>
                        </a:ext>
                      </a:extLst>
                    </xdr:cNvPr>
                    <xdr:cNvCxnSpPr>
                      <a:cxnSpLocks noChangeAspect="1" noChangeShapeType="1"/>
                    </xdr:cNvCxnSpPr>
                  </xdr:nvCxnSpPr>
                  <xdr:spPr bwMode="auto">
                    <a:xfrm flipH="1">
                      <a:off x="110296960" y="113950386"/>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5" name="AutoShape 747">
                      <a:extLst>
                        <a:ext uri="{FF2B5EF4-FFF2-40B4-BE49-F238E27FC236}">
                          <a16:creationId xmlns="" xmlns:a16="http://schemas.microsoft.com/office/drawing/2014/main" id="{00000000-0008-0000-0300-0000EB0A0000}"/>
                        </a:ext>
                      </a:extLst>
                    </xdr:cNvPr>
                    <xdr:cNvCxnSpPr>
                      <a:cxnSpLocks noChangeAspect="1" noChangeShapeType="1"/>
                    </xdr:cNvCxnSpPr>
                  </xdr:nvCxnSpPr>
                  <xdr:spPr bwMode="auto">
                    <a:xfrm flipH="1">
                      <a:off x="109673929" y="114324273"/>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xnSp macro="">
                <xdr:nvCxnSpPr>
                  <xdr:cNvPr id="2796" name="AutoShape 748">
                    <a:extLst>
                      <a:ext uri="{FF2B5EF4-FFF2-40B4-BE49-F238E27FC236}">
                        <a16:creationId xmlns="" xmlns:a16="http://schemas.microsoft.com/office/drawing/2014/main" id="{00000000-0008-0000-0300-0000EC0A0000}"/>
                      </a:ext>
                    </a:extLst>
                  </xdr:cNvPr>
                  <xdr:cNvCxnSpPr>
                    <a:cxnSpLocks noChangeAspect="1" noChangeShapeType="1"/>
                  </xdr:cNvCxnSpPr>
                </xdr:nvCxnSpPr>
                <xdr:spPr bwMode="auto">
                  <a:xfrm flipV="1">
                    <a:off x="108594381" y="112084192"/>
                    <a:ext cx="0" cy="719280"/>
                  </a:xfrm>
                  <a:prstGeom prst="straightConnector1">
                    <a:avLst/>
                  </a:prstGeom>
                  <a:noFill/>
                  <a:ln w="25400" algn="ctr">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sp macro="" textlink="">
              <xdr:nvSpPr>
                <xdr:cNvPr id="2797" name="Text Box 749">
                  <a:extLst>
                    <a:ext uri="{FF2B5EF4-FFF2-40B4-BE49-F238E27FC236}">
                      <a16:creationId xmlns="" xmlns:a16="http://schemas.microsoft.com/office/drawing/2014/main" id="{00000000-0008-0000-0300-0000ED0A0000}"/>
                    </a:ext>
                  </a:extLst>
                </xdr:cNvPr>
                <xdr:cNvSpPr txBox="1">
                  <a:spLocks noChangeAspect="1" noChangeArrowheads="1"/>
                </xdr:cNvSpPr>
              </xdr:nvSpPr>
              <xdr:spPr bwMode="auto">
                <a:xfrm>
                  <a:off x="107355854" y="117229686"/>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a:p>
                  <a:pPr algn="l" rtl="0">
                    <a:defRPr sz="1000"/>
                  </a:pPr>
                  <a:endParaRPr lang="en-GB" sz="700" b="0" i="0" u="none" strike="noStrike" baseline="0">
                    <a:solidFill>
                      <a:srgbClr val="000000"/>
                    </a:solidFill>
                    <a:latin typeface="Calibri"/>
                    <a:cs typeface="Calibri"/>
                  </a:endParaRPr>
                </a:p>
              </xdr:txBody>
            </xdr:sp>
            <xdr:sp macro="" textlink="">
              <xdr:nvSpPr>
                <xdr:cNvPr id="2798" name="Text Box 750">
                  <a:extLst>
                    <a:ext uri="{FF2B5EF4-FFF2-40B4-BE49-F238E27FC236}">
                      <a16:creationId xmlns="" xmlns:a16="http://schemas.microsoft.com/office/drawing/2014/main" id="{00000000-0008-0000-0300-0000EE0A0000}"/>
                    </a:ext>
                  </a:extLst>
                </xdr:cNvPr>
                <xdr:cNvSpPr txBox="1">
                  <a:spLocks noChangeAspect="1" noChangeArrowheads="1"/>
                </xdr:cNvSpPr>
              </xdr:nvSpPr>
              <xdr:spPr bwMode="auto">
                <a:xfrm>
                  <a:off x="107387092" y="117433364"/>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a:p>
                  <a:pPr algn="l" rtl="0">
                    <a:defRPr sz="1000"/>
                  </a:pPr>
                  <a:endParaRPr lang="en-GB" sz="700" b="0" i="0" u="none" strike="noStrike" baseline="0">
                    <a:solidFill>
                      <a:srgbClr val="000000"/>
                    </a:solidFill>
                    <a:latin typeface="Calibri"/>
                    <a:cs typeface="Calibri"/>
                  </a:endParaRPr>
                </a:p>
              </xdr:txBody>
            </xdr:sp>
            <xdr:sp macro="" textlink="">
              <xdr:nvSpPr>
                <xdr:cNvPr id="2799" name="Text Box 751">
                  <a:extLst>
                    <a:ext uri="{FF2B5EF4-FFF2-40B4-BE49-F238E27FC236}">
                      <a16:creationId xmlns="" xmlns:a16="http://schemas.microsoft.com/office/drawing/2014/main" id="{00000000-0008-0000-0300-0000EF0A0000}"/>
                    </a:ext>
                  </a:extLst>
                </xdr:cNvPr>
                <xdr:cNvSpPr txBox="1">
                  <a:spLocks noChangeAspect="1" noChangeArrowheads="1"/>
                </xdr:cNvSpPr>
              </xdr:nvSpPr>
              <xdr:spPr bwMode="auto">
                <a:xfrm>
                  <a:off x="107387092" y="117637043"/>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a:p>
                  <a:pPr algn="l" rtl="0">
                    <a:defRPr sz="1000"/>
                  </a:pPr>
                  <a:endParaRPr lang="en-GB" sz="700" b="0" i="0" u="none" strike="noStrike" baseline="0">
                    <a:solidFill>
                      <a:srgbClr val="000000"/>
                    </a:solidFill>
                    <a:latin typeface="Calibri"/>
                    <a:cs typeface="Calibri"/>
                  </a:endParaRPr>
                </a:p>
              </xdr:txBody>
            </xdr:sp>
            <xdr:sp macro="" textlink="">
              <xdr:nvSpPr>
                <xdr:cNvPr id="2800" name="Text Box 752">
                  <a:extLst>
                    <a:ext uri="{FF2B5EF4-FFF2-40B4-BE49-F238E27FC236}">
                      <a16:creationId xmlns="" xmlns:a16="http://schemas.microsoft.com/office/drawing/2014/main" id="{00000000-0008-0000-0300-0000F00A0000}"/>
                    </a:ext>
                  </a:extLst>
                </xdr:cNvPr>
                <xdr:cNvSpPr txBox="1">
                  <a:spLocks noChangeAspect="1" noChangeArrowheads="1"/>
                </xdr:cNvSpPr>
              </xdr:nvSpPr>
              <xdr:spPr bwMode="auto">
                <a:xfrm>
                  <a:off x="107387092" y="117840721"/>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a:p>
                  <a:pPr algn="l" rtl="0">
                    <a:defRPr sz="1000"/>
                  </a:pPr>
                  <a:endParaRPr lang="en-GB" sz="700" b="0" i="0" u="none" strike="noStrike" baseline="0">
                    <a:solidFill>
                      <a:srgbClr val="000000"/>
                    </a:solidFill>
                    <a:latin typeface="Calibri"/>
                    <a:cs typeface="Calibri"/>
                  </a:endParaRPr>
                </a:p>
              </xdr:txBody>
            </xdr:sp>
            <xdr:sp macro="" textlink="">
              <xdr:nvSpPr>
                <xdr:cNvPr id="2801" name="Text Box 753">
                  <a:extLst>
                    <a:ext uri="{FF2B5EF4-FFF2-40B4-BE49-F238E27FC236}">
                      <a16:creationId xmlns="" xmlns:a16="http://schemas.microsoft.com/office/drawing/2014/main" id="{00000000-0008-0000-0300-0000F10A0000}"/>
                    </a:ext>
                  </a:extLst>
                </xdr:cNvPr>
                <xdr:cNvSpPr txBox="1">
                  <a:spLocks noChangeAspect="1" noChangeArrowheads="1"/>
                </xdr:cNvSpPr>
              </xdr:nvSpPr>
              <xdr:spPr bwMode="auto">
                <a:xfrm>
                  <a:off x="107387092" y="118044400"/>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a:p>
                  <a:pPr algn="l" rtl="0">
                    <a:defRPr sz="1000"/>
                  </a:pPr>
                  <a:endParaRPr lang="en-GB" sz="700" b="0" i="0" u="none" strike="noStrike" baseline="0">
                    <a:solidFill>
                      <a:srgbClr val="000000"/>
                    </a:solidFill>
                    <a:latin typeface="Calibri"/>
                    <a:cs typeface="Calibri"/>
                  </a:endParaRPr>
                </a:p>
              </xdr:txBody>
            </xdr:sp>
            <xdr:sp macro="" textlink="">
              <xdr:nvSpPr>
                <xdr:cNvPr id="2802" name="Text Box 754">
                  <a:extLst>
                    <a:ext uri="{FF2B5EF4-FFF2-40B4-BE49-F238E27FC236}">
                      <a16:creationId xmlns="" xmlns:a16="http://schemas.microsoft.com/office/drawing/2014/main" id="{00000000-0008-0000-0300-0000F20A0000}"/>
                    </a:ext>
                  </a:extLst>
                </xdr:cNvPr>
                <xdr:cNvSpPr txBox="1">
                  <a:spLocks noChangeAspect="1" noChangeArrowheads="1"/>
                </xdr:cNvSpPr>
              </xdr:nvSpPr>
              <xdr:spPr bwMode="auto">
                <a:xfrm>
                  <a:off x="107387092" y="118248078"/>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a:p>
                  <a:pPr algn="l" rtl="0">
                    <a:defRPr sz="1000"/>
                  </a:pPr>
                  <a:endParaRPr lang="en-GB" sz="700" b="0" i="0" u="none" strike="noStrike" baseline="0">
                    <a:solidFill>
                      <a:srgbClr val="000000"/>
                    </a:solidFill>
                    <a:latin typeface="Calibri"/>
                    <a:cs typeface="Calibri"/>
                  </a:endParaRPr>
                </a:p>
              </xdr:txBody>
            </xdr:sp>
            <xdr:sp macro="" textlink="">
              <xdr:nvSpPr>
                <xdr:cNvPr id="2803" name="Text Box 755">
                  <a:extLst>
                    <a:ext uri="{FF2B5EF4-FFF2-40B4-BE49-F238E27FC236}">
                      <a16:creationId xmlns="" xmlns:a16="http://schemas.microsoft.com/office/drawing/2014/main" id="{00000000-0008-0000-0300-0000F30A0000}"/>
                    </a:ext>
                  </a:extLst>
                </xdr:cNvPr>
                <xdr:cNvSpPr txBox="1">
                  <a:spLocks noChangeAspect="1" noChangeArrowheads="1"/>
                </xdr:cNvSpPr>
              </xdr:nvSpPr>
              <xdr:spPr bwMode="auto">
                <a:xfrm>
                  <a:off x="107387092" y="118451757"/>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a:p>
                  <a:pPr algn="l" rtl="0">
                    <a:defRPr sz="1000"/>
                  </a:pPr>
                  <a:endParaRPr lang="en-GB" sz="700" b="0" i="0" u="none" strike="noStrike" baseline="0">
                    <a:solidFill>
                      <a:srgbClr val="000000"/>
                    </a:solidFill>
                    <a:latin typeface="Calibri"/>
                    <a:cs typeface="Calibri"/>
                  </a:endParaRPr>
                </a:p>
              </xdr:txBody>
            </xdr:sp>
            <xdr:sp macro="" textlink="">
              <xdr:nvSpPr>
                <xdr:cNvPr id="2804" name="Text Box 756">
                  <a:extLst>
                    <a:ext uri="{FF2B5EF4-FFF2-40B4-BE49-F238E27FC236}">
                      <a16:creationId xmlns="" xmlns:a16="http://schemas.microsoft.com/office/drawing/2014/main" id="{00000000-0008-0000-0300-0000F40A0000}"/>
                    </a:ext>
                  </a:extLst>
                </xdr:cNvPr>
                <xdr:cNvSpPr txBox="1">
                  <a:spLocks noChangeAspect="1" noChangeArrowheads="1"/>
                </xdr:cNvSpPr>
              </xdr:nvSpPr>
              <xdr:spPr bwMode="auto">
                <a:xfrm>
                  <a:off x="107387092" y="118655435"/>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a:p>
                  <a:pPr algn="l" rtl="0">
                    <a:defRPr sz="1000"/>
                  </a:pPr>
                  <a:endParaRPr lang="en-GB" sz="700" b="0" i="0" u="none" strike="noStrike" baseline="0">
                    <a:solidFill>
                      <a:srgbClr val="000000"/>
                    </a:solidFill>
                    <a:latin typeface="Calibri"/>
                    <a:cs typeface="Calibri"/>
                  </a:endParaRPr>
                </a:p>
              </xdr:txBody>
            </xdr:sp>
            <xdr:sp macro="" textlink="">
              <xdr:nvSpPr>
                <xdr:cNvPr id="2805" name="Text Box 757">
                  <a:extLst>
                    <a:ext uri="{FF2B5EF4-FFF2-40B4-BE49-F238E27FC236}">
                      <a16:creationId xmlns="" xmlns:a16="http://schemas.microsoft.com/office/drawing/2014/main" id="{00000000-0008-0000-0300-0000F50A0000}"/>
                    </a:ext>
                  </a:extLst>
                </xdr:cNvPr>
                <xdr:cNvSpPr txBox="1">
                  <a:spLocks noChangeAspect="1" noChangeArrowheads="1"/>
                </xdr:cNvSpPr>
              </xdr:nvSpPr>
              <xdr:spPr bwMode="auto">
                <a:xfrm>
                  <a:off x="107387092" y="118859114"/>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a:p>
                  <a:pPr algn="l" rtl="0">
                    <a:defRPr sz="1000"/>
                  </a:pPr>
                  <a:endParaRPr lang="en-GB" sz="700" b="0" i="0" u="none" strike="noStrike" baseline="0">
                    <a:solidFill>
                      <a:srgbClr val="000000"/>
                    </a:solidFill>
                    <a:latin typeface="Calibri"/>
                    <a:cs typeface="Calibri"/>
                  </a:endParaRPr>
                </a:p>
              </xdr:txBody>
            </xdr:sp>
            <xdr:sp macro="" textlink="">
              <xdr:nvSpPr>
                <xdr:cNvPr id="2806" name="Text Box 758">
                  <a:extLst>
                    <a:ext uri="{FF2B5EF4-FFF2-40B4-BE49-F238E27FC236}">
                      <a16:creationId xmlns="" xmlns:a16="http://schemas.microsoft.com/office/drawing/2014/main" id="{00000000-0008-0000-0300-0000F60A0000}"/>
                    </a:ext>
                  </a:extLst>
                </xdr:cNvPr>
                <xdr:cNvSpPr txBox="1">
                  <a:spLocks noChangeAspect="1" noChangeArrowheads="1"/>
                </xdr:cNvSpPr>
              </xdr:nvSpPr>
              <xdr:spPr bwMode="auto">
                <a:xfrm>
                  <a:off x="107387092" y="119062792"/>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a:p>
                  <a:pPr algn="l" rtl="0">
                    <a:defRPr sz="1000"/>
                  </a:pPr>
                  <a:endParaRPr lang="en-GB" sz="700" b="0" i="0" u="none" strike="noStrike" baseline="0">
                    <a:solidFill>
                      <a:srgbClr val="000000"/>
                    </a:solidFill>
                    <a:latin typeface="Calibri"/>
                    <a:cs typeface="Calibri"/>
                  </a:endParaRPr>
                </a:p>
              </xdr:txBody>
            </xdr:sp>
            <xdr:sp macro="" textlink="">
              <xdr:nvSpPr>
                <xdr:cNvPr id="2807" name="Text Box 759">
                  <a:extLst>
                    <a:ext uri="{FF2B5EF4-FFF2-40B4-BE49-F238E27FC236}">
                      <a16:creationId xmlns="" xmlns:a16="http://schemas.microsoft.com/office/drawing/2014/main" id="{00000000-0008-0000-0300-0000F70A0000}"/>
                    </a:ext>
                  </a:extLst>
                </xdr:cNvPr>
                <xdr:cNvSpPr txBox="1">
                  <a:spLocks noChangeAspect="1" noChangeArrowheads="1"/>
                </xdr:cNvSpPr>
              </xdr:nvSpPr>
              <xdr:spPr bwMode="auto">
                <a:xfrm>
                  <a:off x="107387092" y="119266471"/>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a:p>
                  <a:pPr algn="l" rtl="0">
                    <a:defRPr sz="1000"/>
                  </a:pPr>
                  <a:endParaRPr lang="en-GB" sz="700" b="0" i="0" u="none" strike="noStrike" baseline="0">
                    <a:solidFill>
                      <a:srgbClr val="000000"/>
                    </a:solidFill>
                    <a:latin typeface="Calibri"/>
                    <a:cs typeface="Calibri"/>
                  </a:endParaRPr>
                </a:p>
              </xdr:txBody>
            </xdr:sp>
            <xdr:sp macro="" textlink="">
              <xdr:nvSpPr>
                <xdr:cNvPr id="2808" name="Text Box 760">
                  <a:extLst>
                    <a:ext uri="{FF2B5EF4-FFF2-40B4-BE49-F238E27FC236}">
                      <a16:creationId xmlns="" xmlns:a16="http://schemas.microsoft.com/office/drawing/2014/main" id="{00000000-0008-0000-0300-0000F80A0000}"/>
                    </a:ext>
                  </a:extLst>
                </xdr:cNvPr>
                <xdr:cNvSpPr txBox="1">
                  <a:spLocks noChangeAspect="1" noChangeArrowheads="1"/>
                </xdr:cNvSpPr>
              </xdr:nvSpPr>
              <xdr:spPr bwMode="auto">
                <a:xfrm>
                  <a:off x="107355855" y="115205603"/>
                  <a:ext cx="254541" cy="166839"/>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a:p>
                  <a:pPr algn="l" rtl="0">
                    <a:defRPr sz="1000"/>
                  </a:pPr>
                  <a:endParaRPr lang="en-GB" sz="700" b="0" i="0" u="none" strike="noStrike" baseline="0">
                    <a:solidFill>
                      <a:srgbClr val="000000"/>
                    </a:solidFill>
                    <a:latin typeface="Calibri"/>
                    <a:cs typeface="Calibri"/>
                  </a:endParaRPr>
                </a:p>
              </xdr:txBody>
            </xdr:sp>
            <xdr:sp macro="" textlink="">
              <xdr:nvSpPr>
                <xdr:cNvPr id="2809" name="Text Box 761">
                  <a:extLst>
                    <a:ext uri="{FF2B5EF4-FFF2-40B4-BE49-F238E27FC236}">
                      <a16:creationId xmlns="" xmlns:a16="http://schemas.microsoft.com/office/drawing/2014/main" id="{00000000-0008-0000-0300-0000F90A0000}"/>
                    </a:ext>
                  </a:extLst>
                </xdr:cNvPr>
                <xdr:cNvSpPr txBox="1">
                  <a:spLocks noChangeAspect="1" noChangeArrowheads="1"/>
                </xdr:cNvSpPr>
              </xdr:nvSpPr>
              <xdr:spPr bwMode="auto">
                <a:xfrm>
                  <a:off x="107355855" y="115396580"/>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a:p>
                  <a:pPr algn="l" rtl="0">
                    <a:defRPr sz="1000"/>
                  </a:pPr>
                  <a:endParaRPr lang="en-GB" sz="700" b="0" i="0" u="none" strike="noStrike" baseline="0">
                    <a:solidFill>
                      <a:srgbClr val="000000"/>
                    </a:solidFill>
                    <a:latin typeface="Calibri"/>
                    <a:cs typeface="Calibri"/>
                  </a:endParaRPr>
                </a:p>
              </xdr:txBody>
            </xdr:sp>
            <xdr:sp macro="" textlink="">
              <xdr:nvSpPr>
                <xdr:cNvPr id="2810" name="Text Box 762">
                  <a:extLst>
                    <a:ext uri="{FF2B5EF4-FFF2-40B4-BE49-F238E27FC236}">
                      <a16:creationId xmlns="" xmlns:a16="http://schemas.microsoft.com/office/drawing/2014/main" id="{00000000-0008-0000-0300-0000FA0A0000}"/>
                    </a:ext>
                  </a:extLst>
                </xdr:cNvPr>
                <xdr:cNvSpPr txBox="1">
                  <a:spLocks noChangeAspect="1" noChangeArrowheads="1"/>
                </xdr:cNvSpPr>
              </xdr:nvSpPr>
              <xdr:spPr bwMode="auto">
                <a:xfrm>
                  <a:off x="107355855" y="115600258"/>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a:p>
                  <a:pPr algn="l" rtl="0">
                    <a:defRPr sz="1000"/>
                  </a:pPr>
                  <a:endParaRPr lang="en-GB" sz="700" b="0" i="0" u="none" strike="noStrike" baseline="0">
                    <a:solidFill>
                      <a:srgbClr val="000000"/>
                    </a:solidFill>
                    <a:latin typeface="Calibri"/>
                    <a:cs typeface="Calibri"/>
                  </a:endParaRPr>
                </a:p>
              </xdr:txBody>
            </xdr:sp>
            <xdr:sp macro="" textlink="">
              <xdr:nvSpPr>
                <xdr:cNvPr id="2811" name="Text Box 763">
                  <a:extLst>
                    <a:ext uri="{FF2B5EF4-FFF2-40B4-BE49-F238E27FC236}">
                      <a16:creationId xmlns="" xmlns:a16="http://schemas.microsoft.com/office/drawing/2014/main" id="{00000000-0008-0000-0300-0000FB0A0000}"/>
                    </a:ext>
                  </a:extLst>
                </xdr:cNvPr>
                <xdr:cNvSpPr txBox="1">
                  <a:spLocks noChangeAspect="1" noChangeArrowheads="1"/>
                </xdr:cNvSpPr>
              </xdr:nvSpPr>
              <xdr:spPr bwMode="auto">
                <a:xfrm>
                  <a:off x="107355855" y="115803937"/>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a:p>
                  <a:pPr algn="l" rtl="0">
                    <a:defRPr sz="1000"/>
                  </a:pPr>
                  <a:endParaRPr lang="en-GB" sz="700" b="0" i="0" u="none" strike="noStrike" baseline="0">
                    <a:solidFill>
                      <a:srgbClr val="000000"/>
                    </a:solidFill>
                    <a:latin typeface="Calibri"/>
                    <a:cs typeface="Calibri"/>
                  </a:endParaRPr>
                </a:p>
              </xdr:txBody>
            </xdr:sp>
            <xdr:sp macro="" textlink="">
              <xdr:nvSpPr>
                <xdr:cNvPr id="2812" name="Text Box 764">
                  <a:extLst>
                    <a:ext uri="{FF2B5EF4-FFF2-40B4-BE49-F238E27FC236}">
                      <a16:creationId xmlns="" xmlns:a16="http://schemas.microsoft.com/office/drawing/2014/main" id="{00000000-0008-0000-0300-0000FC0A0000}"/>
                    </a:ext>
                  </a:extLst>
                </xdr:cNvPr>
                <xdr:cNvSpPr txBox="1">
                  <a:spLocks noChangeAspect="1" noChangeArrowheads="1"/>
                </xdr:cNvSpPr>
              </xdr:nvSpPr>
              <xdr:spPr bwMode="auto">
                <a:xfrm>
                  <a:off x="107355855" y="116007615"/>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a:p>
                  <a:pPr algn="l" rtl="0">
                    <a:defRPr sz="1000"/>
                  </a:pPr>
                  <a:endParaRPr lang="en-GB" sz="700" b="0" i="0" u="none" strike="noStrike" baseline="0">
                    <a:solidFill>
                      <a:srgbClr val="000000"/>
                    </a:solidFill>
                    <a:latin typeface="Calibri"/>
                    <a:cs typeface="Calibri"/>
                  </a:endParaRPr>
                </a:p>
              </xdr:txBody>
            </xdr:sp>
            <xdr:sp macro="" textlink="">
              <xdr:nvSpPr>
                <xdr:cNvPr id="2813" name="Text Box 765">
                  <a:extLst>
                    <a:ext uri="{FF2B5EF4-FFF2-40B4-BE49-F238E27FC236}">
                      <a16:creationId xmlns="" xmlns:a16="http://schemas.microsoft.com/office/drawing/2014/main" id="{00000000-0008-0000-0300-0000FD0A0000}"/>
                    </a:ext>
                  </a:extLst>
                </xdr:cNvPr>
                <xdr:cNvSpPr txBox="1">
                  <a:spLocks noChangeAspect="1" noChangeArrowheads="1"/>
                </xdr:cNvSpPr>
              </xdr:nvSpPr>
              <xdr:spPr bwMode="auto">
                <a:xfrm>
                  <a:off x="107355855" y="116211294"/>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a:p>
                  <a:pPr algn="l" rtl="0">
                    <a:defRPr sz="1000"/>
                  </a:pPr>
                  <a:endParaRPr lang="en-GB" sz="700" b="0" i="0" u="none" strike="noStrike" baseline="0">
                    <a:solidFill>
                      <a:srgbClr val="000000"/>
                    </a:solidFill>
                    <a:latin typeface="Calibri"/>
                    <a:cs typeface="Calibri"/>
                  </a:endParaRPr>
                </a:p>
              </xdr:txBody>
            </xdr:sp>
            <xdr:sp macro="" textlink="">
              <xdr:nvSpPr>
                <xdr:cNvPr id="2814" name="Text Box 766">
                  <a:extLst>
                    <a:ext uri="{FF2B5EF4-FFF2-40B4-BE49-F238E27FC236}">
                      <a16:creationId xmlns="" xmlns:a16="http://schemas.microsoft.com/office/drawing/2014/main" id="{00000000-0008-0000-0300-0000FE0A0000}"/>
                    </a:ext>
                  </a:extLst>
                </xdr:cNvPr>
                <xdr:cNvSpPr txBox="1">
                  <a:spLocks noChangeAspect="1" noChangeArrowheads="1"/>
                </xdr:cNvSpPr>
              </xdr:nvSpPr>
              <xdr:spPr bwMode="auto">
                <a:xfrm>
                  <a:off x="107355855" y="116414972"/>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a:p>
                  <a:pPr algn="l" rtl="0">
                    <a:defRPr sz="1000"/>
                  </a:pPr>
                  <a:endParaRPr lang="en-GB" sz="700" b="0" i="0" u="none" strike="noStrike" baseline="0">
                    <a:solidFill>
                      <a:srgbClr val="000000"/>
                    </a:solidFill>
                    <a:latin typeface="Calibri"/>
                    <a:cs typeface="Calibri"/>
                  </a:endParaRPr>
                </a:p>
              </xdr:txBody>
            </xdr:sp>
            <xdr:sp macro="" textlink="">
              <xdr:nvSpPr>
                <xdr:cNvPr id="2815" name="Text Box 767">
                  <a:extLst>
                    <a:ext uri="{FF2B5EF4-FFF2-40B4-BE49-F238E27FC236}">
                      <a16:creationId xmlns="" xmlns:a16="http://schemas.microsoft.com/office/drawing/2014/main" id="{00000000-0008-0000-0300-0000FF0A0000}"/>
                    </a:ext>
                  </a:extLst>
                </xdr:cNvPr>
                <xdr:cNvSpPr txBox="1">
                  <a:spLocks noChangeAspect="1" noChangeArrowheads="1"/>
                </xdr:cNvSpPr>
              </xdr:nvSpPr>
              <xdr:spPr bwMode="auto">
                <a:xfrm>
                  <a:off x="107355855" y="116618651"/>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a:p>
                  <a:pPr algn="l" rtl="0">
                    <a:defRPr sz="1000"/>
                  </a:pPr>
                  <a:endParaRPr lang="en-GB" sz="700" b="0" i="0" u="none" strike="noStrike" baseline="0">
                    <a:solidFill>
                      <a:srgbClr val="000000"/>
                    </a:solidFill>
                    <a:latin typeface="Calibri"/>
                    <a:cs typeface="Calibri"/>
                  </a:endParaRPr>
                </a:p>
              </xdr:txBody>
            </xdr:sp>
            <xdr:sp macro="" textlink="">
              <xdr:nvSpPr>
                <xdr:cNvPr id="2816" name="Text Box 768">
                  <a:extLst>
                    <a:ext uri="{FF2B5EF4-FFF2-40B4-BE49-F238E27FC236}">
                      <a16:creationId xmlns="" xmlns:a16="http://schemas.microsoft.com/office/drawing/2014/main" id="{00000000-0008-0000-0300-0000000B0000}"/>
                    </a:ext>
                  </a:extLst>
                </xdr:cNvPr>
                <xdr:cNvSpPr txBox="1">
                  <a:spLocks noChangeAspect="1" noChangeArrowheads="1"/>
                </xdr:cNvSpPr>
              </xdr:nvSpPr>
              <xdr:spPr bwMode="auto">
                <a:xfrm>
                  <a:off x="107355855" y="116822329"/>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a:p>
                  <a:pPr algn="l" rtl="0">
                    <a:defRPr sz="1000"/>
                  </a:pPr>
                  <a:endParaRPr lang="en-GB" sz="700" b="0" i="0" u="none" strike="noStrike" baseline="0">
                    <a:solidFill>
                      <a:srgbClr val="000000"/>
                    </a:solidFill>
                    <a:latin typeface="Calibri"/>
                    <a:cs typeface="Calibri"/>
                  </a:endParaRPr>
                </a:p>
              </xdr:txBody>
            </xdr:sp>
            <xdr:sp macro="" textlink="">
              <xdr:nvSpPr>
                <xdr:cNvPr id="2817" name="Text Box 769">
                  <a:extLst>
                    <a:ext uri="{FF2B5EF4-FFF2-40B4-BE49-F238E27FC236}">
                      <a16:creationId xmlns="" xmlns:a16="http://schemas.microsoft.com/office/drawing/2014/main" id="{00000000-0008-0000-0300-0000010B0000}"/>
                    </a:ext>
                  </a:extLst>
                </xdr:cNvPr>
                <xdr:cNvSpPr txBox="1">
                  <a:spLocks noChangeAspect="1" noChangeArrowheads="1"/>
                </xdr:cNvSpPr>
              </xdr:nvSpPr>
              <xdr:spPr bwMode="auto">
                <a:xfrm>
                  <a:off x="107355855" y="117026008"/>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a:p>
                  <a:pPr algn="l" rtl="0">
                    <a:defRPr sz="1000"/>
                  </a:pPr>
                  <a:endParaRPr lang="en-GB" sz="700" b="0" i="0" u="none" strike="noStrike" baseline="0">
                    <a:solidFill>
                      <a:srgbClr val="000000"/>
                    </a:solidFill>
                    <a:latin typeface="Calibri"/>
                    <a:cs typeface="Calibri"/>
                  </a:endParaRPr>
                </a:p>
              </xdr:txBody>
            </xdr:sp>
          </xdr:grpSp>
          <xdr:sp macro="" textlink="">
            <xdr:nvSpPr>
              <xdr:cNvPr id="2818" name="Text Box 770">
                <a:extLst>
                  <a:ext uri="{FF2B5EF4-FFF2-40B4-BE49-F238E27FC236}">
                    <a16:creationId xmlns="" xmlns:a16="http://schemas.microsoft.com/office/drawing/2014/main" id="{00000000-0008-0000-0300-0000020B0000}"/>
                  </a:ext>
                </a:extLst>
              </xdr:cNvPr>
              <xdr:cNvSpPr txBox="1">
                <a:spLocks noChangeAspect="1" noChangeArrowheads="1"/>
              </xdr:cNvSpPr>
            </xdr:nvSpPr>
            <xdr:spPr bwMode="auto">
              <a:xfrm>
                <a:off x="115676057" y="115324695"/>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a:p>
                <a:pPr algn="l" rtl="0">
                  <a:defRPr sz="1000"/>
                </a:pPr>
                <a:endParaRPr lang="en-GB" sz="600" b="0" i="0" u="none" strike="noStrike" baseline="0">
                  <a:solidFill>
                    <a:srgbClr val="000000"/>
                  </a:solidFill>
                  <a:latin typeface="Calibri"/>
                  <a:cs typeface="Calibri"/>
                </a:endParaRPr>
              </a:p>
            </xdr:txBody>
          </xdr:sp>
          <xdr:sp macro="" textlink="">
            <xdr:nvSpPr>
              <xdr:cNvPr id="2819" name="Text Box 771">
                <a:extLst>
                  <a:ext uri="{FF2B5EF4-FFF2-40B4-BE49-F238E27FC236}">
                    <a16:creationId xmlns="" xmlns:a16="http://schemas.microsoft.com/office/drawing/2014/main" id="{00000000-0008-0000-0300-0000030B0000}"/>
                  </a:ext>
                </a:extLst>
              </xdr:cNvPr>
              <xdr:cNvSpPr txBox="1">
                <a:spLocks noChangeAspect="1" noChangeArrowheads="1"/>
              </xdr:cNvSpPr>
            </xdr:nvSpPr>
            <xdr:spPr bwMode="auto">
              <a:xfrm>
                <a:off x="115985517" y="115875001"/>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a:p>
                <a:pPr algn="l" rtl="0">
                  <a:defRPr sz="1000"/>
                </a:pPr>
                <a:endParaRPr lang="en-GB" sz="600" b="0" i="0" u="none" strike="noStrike" baseline="0">
                  <a:solidFill>
                    <a:srgbClr val="000000"/>
                  </a:solidFill>
                  <a:latin typeface="Calibri"/>
                  <a:cs typeface="Calibri"/>
                </a:endParaRPr>
              </a:p>
            </xdr:txBody>
          </xdr:sp>
          <xdr:sp macro="" textlink="">
            <xdr:nvSpPr>
              <xdr:cNvPr id="2820" name="Text Box 772">
                <a:extLst>
                  <a:ext uri="{FF2B5EF4-FFF2-40B4-BE49-F238E27FC236}">
                    <a16:creationId xmlns="" xmlns:a16="http://schemas.microsoft.com/office/drawing/2014/main" id="{00000000-0008-0000-0300-0000040B0000}"/>
                  </a:ext>
                </a:extLst>
              </xdr:cNvPr>
              <xdr:cNvSpPr txBox="1">
                <a:spLocks noChangeAspect="1" noChangeArrowheads="1"/>
              </xdr:cNvSpPr>
            </xdr:nvSpPr>
            <xdr:spPr bwMode="auto">
              <a:xfrm>
                <a:off x="115628459" y="115896750"/>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a:p>
                <a:pPr algn="l" rtl="0">
                  <a:defRPr sz="1000"/>
                </a:pPr>
                <a:endParaRPr lang="en-GB" sz="600" b="0" i="0" u="none" strike="noStrike" baseline="0">
                  <a:solidFill>
                    <a:srgbClr val="000000"/>
                  </a:solidFill>
                  <a:latin typeface="Calibri"/>
                  <a:cs typeface="Calibri"/>
                </a:endParaRPr>
              </a:p>
            </xdr:txBody>
          </xdr:sp>
          <xdr:sp macro="" textlink="">
            <xdr:nvSpPr>
              <xdr:cNvPr id="2821" name="Text Box 773">
                <a:extLst>
                  <a:ext uri="{FF2B5EF4-FFF2-40B4-BE49-F238E27FC236}">
                    <a16:creationId xmlns="" xmlns:a16="http://schemas.microsoft.com/office/drawing/2014/main" id="{00000000-0008-0000-0300-0000050B0000}"/>
                  </a:ext>
                </a:extLst>
              </xdr:cNvPr>
              <xdr:cNvSpPr txBox="1">
                <a:spLocks noChangeAspect="1" noChangeArrowheads="1"/>
              </xdr:cNvSpPr>
            </xdr:nvSpPr>
            <xdr:spPr bwMode="auto">
              <a:xfrm>
                <a:off x="115546300" y="116088077"/>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a:p>
                <a:pPr algn="l" rtl="0">
                  <a:defRPr sz="1000"/>
                </a:pPr>
                <a:endParaRPr lang="en-GB" sz="600" b="0" i="0" u="none" strike="noStrike" baseline="0">
                  <a:solidFill>
                    <a:srgbClr val="000000"/>
                  </a:solidFill>
                  <a:latin typeface="Calibri"/>
                  <a:cs typeface="Calibri"/>
                </a:endParaRPr>
              </a:p>
            </xdr:txBody>
          </xdr:sp>
          <xdr:sp macro="" textlink="">
            <xdr:nvSpPr>
              <xdr:cNvPr id="2822" name="Text Box 774">
                <a:extLst>
                  <a:ext uri="{FF2B5EF4-FFF2-40B4-BE49-F238E27FC236}">
                    <a16:creationId xmlns="" xmlns:a16="http://schemas.microsoft.com/office/drawing/2014/main" id="{00000000-0008-0000-0300-0000060B0000}"/>
                  </a:ext>
                </a:extLst>
              </xdr:cNvPr>
              <xdr:cNvSpPr txBox="1">
                <a:spLocks noChangeAspect="1" noChangeArrowheads="1"/>
              </xdr:cNvSpPr>
            </xdr:nvSpPr>
            <xdr:spPr bwMode="auto">
              <a:xfrm>
                <a:off x="115708937" y="116237040"/>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a:p>
                <a:pPr algn="l" rtl="0">
                  <a:defRPr sz="1000"/>
                </a:pPr>
                <a:endParaRPr lang="en-GB" sz="600" b="0" i="0" u="none" strike="noStrike" baseline="0">
                  <a:solidFill>
                    <a:srgbClr val="000000"/>
                  </a:solidFill>
                  <a:latin typeface="Calibri"/>
                  <a:cs typeface="Calibri"/>
                </a:endParaRPr>
              </a:p>
            </xdr:txBody>
          </xdr:sp>
          <xdr:sp macro="" textlink="">
            <xdr:nvSpPr>
              <xdr:cNvPr id="2823" name="Text Box 775">
                <a:extLst>
                  <a:ext uri="{FF2B5EF4-FFF2-40B4-BE49-F238E27FC236}">
                    <a16:creationId xmlns="" xmlns:a16="http://schemas.microsoft.com/office/drawing/2014/main" id="{00000000-0008-0000-0300-0000070B0000}"/>
                  </a:ext>
                </a:extLst>
              </xdr:cNvPr>
              <xdr:cNvSpPr txBox="1">
                <a:spLocks noChangeAspect="1" noChangeArrowheads="1"/>
              </xdr:cNvSpPr>
            </xdr:nvSpPr>
            <xdr:spPr bwMode="auto">
              <a:xfrm>
                <a:off x="114625135" y="11620318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a:p>
                <a:pPr algn="l" rtl="0">
                  <a:defRPr sz="1000"/>
                </a:pPr>
                <a:endParaRPr lang="en-GB" sz="600" b="0" i="0" u="none" strike="noStrike" baseline="0">
                  <a:solidFill>
                    <a:srgbClr val="000000"/>
                  </a:solidFill>
                  <a:latin typeface="Calibri"/>
                  <a:cs typeface="Calibri"/>
                </a:endParaRPr>
              </a:p>
            </xdr:txBody>
          </xdr:sp>
          <xdr:sp macro="" textlink="">
            <xdr:nvSpPr>
              <xdr:cNvPr id="2824" name="Text Box 776">
                <a:extLst>
                  <a:ext uri="{FF2B5EF4-FFF2-40B4-BE49-F238E27FC236}">
                    <a16:creationId xmlns="" xmlns:a16="http://schemas.microsoft.com/office/drawing/2014/main" id="{00000000-0008-0000-0300-0000080B0000}"/>
                  </a:ext>
                </a:extLst>
              </xdr:cNvPr>
              <xdr:cNvSpPr txBox="1">
                <a:spLocks noChangeAspect="1" noChangeArrowheads="1"/>
              </xdr:cNvSpPr>
            </xdr:nvSpPr>
            <xdr:spPr bwMode="auto">
              <a:xfrm>
                <a:off x="115698648" y="116420259"/>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a:p>
                <a:pPr algn="l" rtl="0">
                  <a:defRPr sz="1000"/>
                </a:pPr>
                <a:endParaRPr lang="en-GB" sz="600" b="0" i="0" u="none" strike="noStrike" baseline="0">
                  <a:solidFill>
                    <a:srgbClr val="000000"/>
                  </a:solidFill>
                  <a:latin typeface="Calibri"/>
                  <a:cs typeface="Calibri"/>
                </a:endParaRPr>
              </a:p>
            </xdr:txBody>
          </xdr:sp>
          <xdr:sp macro="" textlink="">
            <xdr:nvSpPr>
              <xdr:cNvPr id="2825" name="Text Box 777">
                <a:extLst>
                  <a:ext uri="{FF2B5EF4-FFF2-40B4-BE49-F238E27FC236}">
                    <a16:creationId xmlns="" xmlns:a16="http://schemas.microsoft.com/office/drawing/2014/main" id="{00000000-0008-0000-0300-0000090B0000}"/>
                  </a:ext>
                </a:extLst>
              </xdr:cNvPr>
              <xdr:cNvSpPr txBox="1">
                <a:spLocks noChangeAspect="1" noChangeArrowheads="1"/>
              </xdr:cNvSpPr>
            </xdr:nvSpPr>
            <xdr:spPr bwMode="auto">
              <a:xfrm>
                <a:off x="115726631" y="11809081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a:p>
                <a:pPr algn="l" rtl="0">
                  <a:defRPr sz="1000"/>
                </a:pPr>
                <a:endParaRPr lang="en-GB" sz="600" b="0" i="0" u="none" strike="noStrike" baseline="0">
                  <a:solidFill>
                    <a:srgbClr val="000000"/>
                  </a:solidFill>
                  <a:latin typeface="Calibri"/>
                  <a:cs typeface="Calibri"/>
                </a:endParaRPr>
              </a:p>
            </xdr:txBody>
          </xdr:sp>
          <xdr:sp macro="" textlink="">
            <xdr:nvSpPr>
              <xdr:cNvPr id="2826" name="Text Box 778">
                <a:extLst>
                  <a:ext uri="{FF2B5EF4-FFF2-40B4-BE49-F238E27FC236}">
                    <a16:creationId xmlns="" xmlns:a16="http://schemas.microsoft.com/office/drawing/2014/main" id="{00000000-0008-0000-0300-00000A0B0000}"/>
                  </a:ext>
                </a:extLst>
              </xdr:cNvPr>
              <xdr:cNvSpPr txBox="1">
                <a:spLocks noChangeAspect="1" noChangeArrowheads="1"/>
              </xdr:cNvSpPr>
            </xdr:nvSpPr>
            <xdr:spPr bwMode="auto">
              <a:xfrm>
                <a:off x="115796820" y="118728747"/>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a:p>
                <a:pPr algn="l" rtl="0">
                  <a:defRPr sz="1000"/>
                </a:pPr>
                <a:endParaRPr lang="en-GB" sz="600" b="0" i="0" u="none" strike="noStrike" baseline="0">
                  <a:solidFill>
                    <a:srgbClr val="000000"/>
                  </a:solidFill>
                  <a:latin typeface="Calibri"/>
                  <a:cs typeface="Calibri"/>
                </a:endParaRPr>
              </a:p>
            </xdr:txBody>
          </xdr:sp>
          <xdr:sp macro="" textlink="">
            <xdr:nvSpPr>
              <xdr:cNvPr id="2827" name="Text Box 779">
                <a:extLst>
                  <a:ext uri="{FF2B5EF4-FFF2-40B4-BE49-F238E27FC236}">
                    <a16:creationId xmlns="" xmlns:a16="http://schemas.microsoft.com/office/drawing/2014/main" id="{00000000-0008-0000-0300-00000B0B0000}"/>
                  </a:ext>
                </a:extLst>
              </xdr:cNvPr>
              <xdr:cNvSpPr txBox="1">
                <a:spLocks noChangeAspect="1" noChangeArrowheads="1"/>
              </xdr:cNvSpPr>
            </xdr:nvSpPr>
            <xdr:spPr bwMode="auto">
              <a:xfrm>
                <a:off x="115301119" y="11870940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a:p>
                <a:pPr algn="l" rtl="0">
                  <a:defRPr sz="1000"/>
                </a:pPr>
                <a:endParaRPr lang="en-GB" sz="600" b="0" i="0" u="none" strike="noStrike" baseline="0">
                  <a:solidFill>
                    <a:srgbClr val="000000"/>
                  </a:solidFill>
                  <a:latin typeface="Calibri"/>
                  <a:cs typeface="Calibri"/>
                </a:endParaRPr>
              </a:p>
            </xdr:txBody>
          </xdr:sp>
          <xdr:sp macro="" textlink="">
            <xdr:nvSpPr>
              <xdr:cNvPr id="2828" name="Text Box 780">
                <a:extLst>
                  <a:ext uri="{FF2B5EF4-FFF2-40B4-BE49-F238E27FC236}">
                    <a16:creationId xmlns="" xmlns:a16="http://schemas.microsoft.com/office/drawing/2014/main" id="{00000000-0008-0000-0300-00000C0B0000}"/>
                  </a:ext>
                </a:extLst>
              </xdr:cNvPr>
              <xdr:cNvSpPr txBox="1">
                <a:spLocks noChangeAspect="1" noChangeArrowheads="1"/>
              </xdr:cNvSpPr>
            </xdr:nvSpPr>
            <xdr:spPr bwMode="auto">
              <a:xfrm>
                <a:off x="115848777" y="11740753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a:p>
                <a:pPr algn="l" rtl="0">
                  <a:defRPr sz="1000"/>
                </a:pPr>
                <a:endParaRPr lang="en-GB" sz="600" b="0" i="0" u="none" strike="noStrike" baseline="0">
                  <a:solidFill>
                    <a:srgbClr val="000000"/>
                  </a:solidFill>
                  <a:latin typeface="Calibri"/>
                  <a:cs typeface="Calibri"/>
                </a:endParaRPr>
              </a:p>
            </xdr:txBody>
          </xdr:sp>
          <xdr:sp macro="" textlink="">
            <xdr:nvSpPr>
              <xdr:cNvPr id="2829" name="Text Box 781">
                <a:extLst>
                  <a:ext uri="{FF2B5EF4-FFF2-40B4-BE49-F238E27FC236}">
                    <a16:creationId xmlns="" xmlns:a16="http://schemas.microsoft.com/office/drawing/2014/main" id="{00000000-0008-0000-0300-00000D0B0000}"/>
                  </a:ext>
                </a:extLst>
              </xdr:cNvPr>
              <xdr:cNvSpPr txBox="1">
                <a:spLocks noChangeAspect="1" noChangeArrowheads="1"/>
              </xdr:cNvSpPr>
            </xdr:nvSpPr>
            <xdr:spPr bwMode="auto">
              <a:xfrm>
                <a:off x="115932370" y="117131399"/>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a:p>
                <a:pPr algn="l" rtl="0">
                  <a:defRPr sz="1000"/>
                </a:pPr>
                <a:endParaRPr lang="en-GB" sz="600" b="0" i="0" u="none" strike="noStrike" baseline="0">
                  <a:solidFill>
                    <a:srgbClr val="000000"/>
                  </a:solidFill>
                  <a:latin typeface="Calibri"/>
                  <a:cs typeface="Calibri"/>
                </a:endParaRPr>
              </a:p>
            </xdr:txBody>
          </xdr:sp>
          <xdr:sp macro="" textlink="">
            <xdr:nvSpPr>
              <xdr:cNvPr id="2830" name="Text Box 782">
                <a:extLst>
                  <a:ext uri="{FF2B5EF4-FFF2-40B4-BE49-F238E27FC236}">
                    <a16:creationId xmlns="" xmlns:a16="http://schemas.microsoft.com/office/drawing/2014/main" id="{00000000-0008-0000-0300-00000E0B0000}"/>
                  </a:ext>
                </a:extLst>
              </xdr:cNvPr>
              <xdr:cNvSpPr txBox="1">
                <a:spLocks noChangeAspect="1" noChangeArrowheads="1"/>
              </xdr:cNvSpPr>
            </xdr:nvSpPr>
            <xdr:spPr bwMode="auto">
              <a:xfrm>
                <a:off x="115967927" y="116979254"/>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a:p>
                <a:pPr algn="l" rtl="0">
                  <a:defRPr sz="1000"/>
                </a:pPr>
                <a:endParaRPr lang="en-GB" sz="600" b="0" i="0" u="none" strike="noStrike" baseline="0">
                  <a:solidFill>
                    <a:srgbClr val="000000"/>
                  </a:solidFill>
                  <a:latin typeface="Calibri"/>
                  <a:cs typeface="Calibri"/>
                </a:endParaRPr>
              </a:p>
            </xdr:txBody>
          </xdr:sp>
          <xdr:sp macro="" textlink="">
            <xdr:nvSpPr>
              <xdr:cNvPr id="2831" name="Text Box 783">
                <a:extLst>
                  <a:ext uri="{FF2B5EF4-FFF2-40B4-BE49-F238E27FC236}">
                    <a16:creationId xmlns="" xmlns:a16="http://schemas.microsoft.com/office/drawing/2014/main" id="{00000000-0008-0000-0300-00000F0B0000}"/>
                  </a:ext>
                </a:extLst>
              </xdr:cNvPr>
              <xdr:cNvSpPr txBox="1">
                <a:spLocks noChangeAspect="1" noChangeArrowheads="1"/>
              </xdr:cNvSpPr>
            </xdr:nvSpPr>
            <xdr:spPr bwMode="auto">
              <a:xfrm>
                <a:off x="115993164" y="116809836"/>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a:p>
                <a:pPr algn="l" rtl="0">
                  <a:defRPr sz="1000"/>
                </a:pPr>
                <a:endParaRPr lang="en-GB" sz="600" b="0" i="0" u="none" strike="noStrike" baseline="0">
                  <a:solidFill>
                    <a:srgbClr val="000000"/>
                  </a:solidFill>
                  <a:latin typeface="Calibri"/>
                  <a:cs typeface="Calibri"/>
                </a:endParaRPr>
              </a:p>
            </xdr:txBody>
          </xdr:sp>
          <xdr:sp macro="" textlink="">
            <xdr:nvSpPr>
              <xdr:cNvPr id="2832" name="Text Box 784">
                <a:extLst>
                  <a:ext uri="{FF2B5EF4-FFF2-40B4-BE49-F238E27FC236}">
                    <a16:creationId xmlns="" xmlns:a16="http://schemas.microsoft.com/office/drawing/2014/main" id="{00000000-0008-0000-0300-0000100B0000}"/>
                  </a:ext>
                </a:extLst>
              </xdr:cNvPr>
              <xdr:cNvSpPr txBox="1">
                <a:spLocks noChangeAspect="1" noChangeArrowheads="1"/>
              </xdr:cNvSpPr>
            </xdr:nvSpPr>
            <xdr:spPr bwMode="auto">
              <a:xfrm>
                <a:off x="116466918" y="115663185"/>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a:p>
                <a:pPr algn="l" rtl="0">
                  <a:defRPr sz="1000"/>
                </a:pPr>
                <a:endParaRPr lang="en-GB" sz="600" b="0" i="0" u="none" strike="noStrike" baseline="0">
                  <a:solidFill>
                    <a:srgbClr val="000000"/>
                  </a:solidFill>
                  <a:latin typeface="Calibri"/>
                  <a:cs typeface="Calibri"/>
                </a:endParaRPr>
              </a:p>
            </xdr:txBody>
          </xdr:sp>
          <xdr:sp macro="" textlink="">
            <xdr:nvSpPr>
              <xdr:cNvPr id="2833" name="Text Box 785">
                <a:extLst>
                  <a:ext uri="{FF2B5EF4-FFF2-40B4-BE49-F238E27FC236}">
                    <a16:creationId xmlns="" xmlns:a16="http://schemas.microsoft.com/office/drawing/2014/main" id="{00000000-0008-0000-0300-0000110B0000}"/>
                  </a:ext>
                </a:extLst>
              </xdr:cNvPr>
              <xdr:cNvSpPr txBox="1">
                <a:spLocks noChangeAspect="1" noChangeArrowheads="1"/>
              </xdr:cNvSpPr>
            </xdr:nvSpPr>
            <xdr:spPr bwMode="auto">
              <a:xfrm>
                <a:off x="117236505" y="11585711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a:p>
                <a:pPr algn="l" rtl="0">
                  <a:defRPr sz="1000"/>
                </a:pPr>
                <a:endParaRPr lang="en-GB" sz="600" b="0" i="0" u="none" strike="noStrike" baseline="0">
                  <a:solidFill>
                    <a:srgbClr val="000000"/>
                  </a:solidFill>
                  <a:latin typeface="Calibri"/>
                  <a:cs typeface="Calibri"/>
                </a:endParaRPr>
              </a:p>
            </xdr:txBody>
          </xdr:sp>
          <xdr:sp macro="" textlink="">
            <xdr:nvSpPr>
              <xdr:cNvPr id="2834" name="Text Box 786">
                <a:extLst>
                  <a:ext uri="{FF2B5EF4-FFF2-40B4-BE49-F238E27FC236}">
                    <a16:creationId xmlns="" xmlns:a16="http://schemas.microsoft.com/office/drawing/2014/main" id="{00000000-0008-0000-0300-0000120B0000}"/>
                  </a:ext>
                </a:extLst>
              </xdr:cNvPr>
              <xdr:cNvSpPr txBox="1">
                <a:spLocks noChangeAspect="1" noChangeArrowheads="1"/>
              </xdr:cNvSpPr>
            </xdr:nvSpPr>
            <xdr:spPr bwMode="auto">
              <a:xfrm>
                <a:off x="116770891" y="11635593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a:p>
                <a:pPr algn="l" rtl="0">
                  <a:defRPr sz="1000"/>
                </a:pPr>
                <a:endParaRPr lang="en-GB" sz="600" b="0" i="0" u="none" strike="noStrike" baseline="0">
                  <a:solidFill>
                    <a:srgbClr val="000000"/>
                  </a:solidFill>
                  <a:latin typeface="Calibri"/>
                  <a:cs typeface="Calibri"/>
                </a:endParaRPr>
              </a:p>
            </xdr:txBody>
          </xdr:sp>
          <xdr:sp macro="" textlink="">
            <xdr:nvSpPr>
              <xdr:cNvPr id="2835" name="Text Box 787">
                <a:extLst>
                  <a:ext uri="{FF2B5EF4-FFF2-40B4-BE49-F238E27FC236}">
                    <a16:creationId xmlns="" xmlns:a16="http://schemas.microsoft.com/office/drawing/2014/main" id="{00000000-0008-0000-0300-0000130B0000}"/>
                  </a:ext>
                </a:extLst>
              </xdr:cNvPr>
              <xdr:cNvSpPr txBox="1">
                <a:spLocks noChangeAspect="1" noChangeArrowheads="1"/>
              </xdr:cNvSpPr>
            </xdr:nvSpPr>
            <xdr:spPr bwMode="auto">
              <a:xfrm>
                <a:off x="116672719" y="11730696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a:p>
                <a:pPr algn="l" rtl="0">
                  <a:defRPr sz="1000"/>
                </a:pPr>
                <a:endParaRPr lang="en-GB" sz="600" b="0" i="0" u="none" strike="noStrike" baseline="0">
                  <a:solidFill>
                    <a:srgbClr val="000000"/>
                  </a:solidFill>
                  <a:latin typeface="Calibri"/>
                  <a:cs typeface="Calibri"/>
                </a:endParaRPr>
              </a:p>
            </xdr:txBody>
          </xdr:sp>
          <xdr:sp macro="" textlink="">
            <xdr:nvSpPr>
              <xdr:cNvPr id="2836" name="Text Box 788">
                <a:extLst>
                  <a:ext uri="{FF2B5EF4-FFF2-40B4-BE49-F238E27FC236}">
                    <a16:creationId xmlns="" xmlns:a16="http://schemas.microsoft.com/office/drawing/2014/main" id="{00000000-0008-0000-0300-0000140B0000}"/>
                  </a:ext>
                </a:extLst>
              </xdr:cNvPr>
              <xdr:cNvSpPr txBox="1">
                <a:spLocks noChangeAspect="1" noChangeArrowheads="1"/>
              </xdr:cNvSpPr>
            </xdr:nvSpPr>
            <xdr:spPr bwMode="auto">
              <a:xfrm>
                <a:off x="116692353" y="117540449"/>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a:p>
                <a:pPr algn="l" rtl="0">
                  <a:defRPr sz="1000"/>
                </a:pPr>
                <a:endParaRPr lang="en-GB" sz="600" b="0" i="0" u="none" strike="noStrike" baseline="0">
                  <a:solidFill>
                    <a:srgbClr val="000000"/>
                  </a:solidFill>
                  <a:latin typeface="Calibri"/>
                  <a:cs typeface="Calibri"/>
                </a:endParaRPr>
              </a:p>
            </xdr:txBody>
          </xdr:sp>
          <xdr:sp macro="" textlink="">
            <xdr:nvSpPr>
              <xdr:cNvPr id="2837" name="Text Box 789">
                <a:extLst>
                  <a:ext uri="{FF2B5EF4-FFF2-40B4-BE49-F238E27FC236}">
                    <a16:creationId xmlns="" xmlns:a16="http://schemas.microsoft.com/office/drawing/2014/main" id="{00000000-0008-0000-0300-0000150B0000}"/>
                  </a:ext>
                </a:extLst>
              </xdr:cNvPr>
              <xdr:cNvSpPr txBox="1">
                <a:spLocks noChangeAspect="1" noChangeArrowheads="1"/>
              </xdr:cNvSpPr>
            </xdr:nvSpPr>
            <xdr:spPr bwMode="auto">
              <a:xfrm>
                <a:off x="116672719" y="117800984"/>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a:p>
                <a:pPr algn="l" rtl="0">
                  <a:defRPr sz="1000"/>
                </a:pPr>
                <a:endParaRPr lang="en-GB" sz="600" b="0" i="0" u="none" strike="noStrike" baseline="0">
                  <a:solidFill>
                    <a:srgbClr val="000000"/>
                  </a:solidFill>
                  <a:latin typeface="Calibri"/>
                  <a:cs typeface="Calibri"/>
                </a:endParaRPr>
              </a:p>
            </xdr:txBody>
          </xdr:sp>
          <xdr:sp macro="" textlink="">
            <xdr:nvSpPr>
              <xdr:cNvPr id="2838" name="Text Box 790">
                <a:extLst>
                  <a:ext uri="{FF2B5EF4-FFF2-40B4-BE49-F238E27FC236}">
                    <a16:creationId xmlns="" xmlns:a16="http://schemas.microsoft.com/office/drawing/2014/main" id="{00000000-0008-0000-0300-0000160B0000}"/>
                  </a:ext>
                </a:extLst>
              </xdr:cNvPr>
              <xdr:cNvSpPr txBox="1">
                <a:spLocks noChangeAspect="1" noChangeArrowheads="1"/>
              </xdr:cNvSpPr>
            </xdr:nvSpPr>
            <xdr:spPr bwMode="auto">
              <a:xfrm>
                <a:off x="116639448" y="118052872"/>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a:p>
                <a:pPr algn="l" rtl="0">
                  <a:defRPr sz="1000"/>
                </a:pPr>
                <a:endParaRPr lang="en-GB" sz="600" b="0" i="0" u="none" strike="noStrike" baseline="0">
                  <a:solidFill>
                    <a:srgbClr val="000000"/>
                  </a:solidFill>
                  <a:latin typeface="Calibri"/>
                  <a:cs typeface="Calibri"/>
                </a:endParaRPr>
              </a:p>
            </xdr:txBody>
          </xdr:sp>
          <xdr:sp macro="" textlink="">
            <xdr:nvSpPr>
              <xdr:cNvPr id="2839" name="Text Box 791">
                <a:extLst>
                  <a:ext uri="{FF2B5EF4-FFF2-40B4-BE49-F238E27FC236}">
                    <a16:creationId xmlns="" xmlns:a16="http://schemas.microsoft.com/office/drawing/2014/main" id="{00000000-0008-0000-0300-0000170B0000}"/>
                  </a:ext>
                </a:extLst>
              </xdr:cNvPr>
              <xdr:cNvSpPr txBox="1">
                <a:spLocks noChangeAspect="1" noChangeArrowheads="1"/>
              </xdr:cNvSpPr>
            </xdr:nvSpPr>
            <xdr:spPr bwMode="auto">
              <a:xfrm>
                <a:off x="116639448" y="11813332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a:p>
                <a:pPr algn="l" rtl="0">
                  <a:defRPr sz="1000"/>
                </a:pPr>
                <a:endParaRPr lang="en-GB" sz="600" b="0" i="0" u="none" strike="noStrike" baseline="0">
                  <a:solidFill>
                    <a:srgbClr val="000000"/>
                  </a:solidFill>
                  <a:latin typeface="Calibri"/>
                  <a:cs typeface="Calibri"/>
                </a:endParaRPr>
              </a:p>
            </xdr:txBody>
          </xdr:sp>
          <xdr:sp macro="" textlink="">
            <xdr:nvSpPr>
              <xdr:cNvPr id="2840" name="Text Box 792">
                <a:extLst>
                  <a:ext uri="{FF2B5EF4-FFF2-40B4-BE49-F238E27FC236}">
                    <a16:creationId xmlns="" xmlns:a16="http://schemas.microsoft.com/office/drawing/2014/main" id="{00000000-0008-0000-0300-0000180B0000}"/>
                  </a:ext>
                </a:extLst>
              </xdr:cNvPr>
              <xdr:cNvSpPr txBox="1">
                <a:spLocks noChangeAspect="1" noChangeArrowheads="1"/>
              </xdr:cNvSpPr>
            </xdr:nvSpPr>
            <xdr:spPr bwMode="auto">
              <a:xfrm>
                <a:off x="116412500" y="11870940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a:p>
                <a:pPr algn="l" rtl="0">
                  <a:defRPr sz="1000"/>
                </a:pPr>
                <a:endParaRPr lang="en-GB" sz="600" b="0" i="0" u="none" strike="noStrike" baseline="0">
                  <a:solidFill>
                    <a:srgbClr val="000000"/>
                  </a:solidFill>
                  <a:latin typeface="Calibri"/>
                  <a:cs typeface="Calibri"/>
                </a:endParaRPr>
              </a:p>
            </xdr:txBody>
          </xdr:sp>
          <xdr:sp macro="" textlink="">
            <xdr:nvSpPr>
              <xdr:cNvPr id="2841" name="Text Box 793">
                <a:extLst>
                  <a:ext uri="{FF2B5EF4-FFF2-40B4-BE49-F238E27FC236}">
                    <a16:creationId xmlns="" xmlns:a16="http://schemas.microsoft.com/office/drawing/2014/main" id="{00000000-0008-0000-0300-0000190B0000}"/>
                  </a:ext>
                </a:extLst>
              </xdr:cNvPr>
              <xdr:cNvSpPr txBox="1">
                <a:spLocks noChangeAspect="1" noChangeArrowheads="1"/>
              </xdr:cNvSpPr>
            </xdr:nvSpPr>
            <xdr:spPr bwMode="auto">
              <a:xfrm>
                <a:off x="115721768" y="119102634"/>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a:p>
                <a:pPr algn="l" rtl="0">
                  <a:defRPr sz="1000"/>
                </a:pPr>
                <a:endParaRPr lang="en-GB" sz="600" b="0" i="0" u="none" strike="noStrike" baseline="0">
                  <a:solidFill>
                    <a:srgbClr val="000000"/>
                  </a:solidFill>
                  <a:latin typeface="Calibri"/>
                  <a:cs typeface="Calibri"/>
                </a:endParaRPr>
              </a:p>
            </xdr:txBody>
          </xdr:sp>
          <xdr:sp macro="" textlink="">
            <xdr:nvSpPr>
              <xdr:cNvPr id="2842" name="Text Box 794">
                <a:extLst>
                  <a:ext uri="{FF2B5EF4-FFF2-40B4-BE49-F238E27FC236}">
                    <a16:creationId xmlns="" xmlns:a16="http://schemas.microsoft.com/office/drawing/2014/main" id="{00000000-0008-0000-0300-00001A0B0000}"/>
                  </a:ext>
                </a:extLst>
              </xdr:cNvPr>
              <xdr:cNvSpPr txBox="1">
                <a:spLocks noChangeAspect="1" noChangeArrowheads="1"/>
              </xdr:cNvSpPr>
            </xdr:nvSpPr>
            <xdr:spPr bwMode="auto">
              <a:xfrm>
                <a:off x="114723307" y="11761205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a:p>
                <a:pPr algn="l" rtl="0">
                  <a:defRPr sz="1000"/>
                </a:pPr>
                <a:endParaRPr lang="en-GB" sz="600" b="0" i="0" u="none" strike="noStrike" baseline="0">
                  <a:solidFill>
                    <a:srgbClr val="000000"/>
                  </a:solidFill>
                  <a:latin typeface="Calibri"/>
                  <a:cs typeface="Calibri"/>
                </a:endParaRPr>
              </a:p>
            </xdr:txBody>
          </xdr:sp>
          <xdr:sp macro="" textlink="">
            <xdr:nvSpPr>
              <xdr:cNvPr id="2843" name="Text Box 795">
                <a:extLst>
                  <a:ext uri="{FF2B5EF4-FFF2-40B4-BE49-F238E27FC236}">
                    <a16:creationId xmlns="" xmlns:a16="http://schemas.microsoft.com/office/drawing/2014/main" id="{00000000-0008-0000-0300-00001B0B0000}"/>
                  </a:ext>
                </a:extLst>
              </xdr:cNvPr>
              <xdr:cNvSpPr txBox="1">
                <a:spLocks noChangeAspect="1" noChangeArrowheads="1"/>
              </xdr:cNvSpPr>
            </xdr:nvSpPr>
            <xdr:spPr bwMode="auto">
              <a:xfrm>
                <a:off x="114716721" y="117523463"/>
                <a:ext cx="263662" cy="15830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a:p>
                <a:pPr algn="l" rtl="0">
                  <a:defRPr sz="1000"/>
                </a:pPr>
                <a:endParaRPr lang="en-GB" sz="600" b="0" i="0" u="none" strike="noStrike" baseline="0">
                  <a:solidFill>
                    <a:srgbClr val="000000"/>
                  </a:solidFill>
                  <a:latin typeface="Calibri"/>
                  <a:cs typeface="Calibri"/>
                </a:endParaRPr>
              </a:p>
            </xdr:txBody>
          </xdr:sp>
        </xdr:grpSp>
        <xdr:grpSp>
          <xdr:nvGrpSpPr>
            <xdr:cNvPr id="2844" name="Group 796">
              <a:extLst>
                <a:ext uri="{FF2B5EF4-FFF2-40B4-BE49-F238E27FC236}">
                  <a16:creationId xmlns="" xmlns:a16="http://schemas.microsoft.com/office/drawing/2014/main" id="{00000000-0008-0000-0300-00001C0B0000}"/>
                </a:ext>
              </a:extLst>
            </xdr:cNvPr>
            <xdr:cNvGrpSpPr>
              <a:grpSpLocks/>
            </xdr:cNvGrpSpPr>
          </xdr:nvGrpSpPr>
          <xdr:grpSpPr bwMode="auto">
            <a:xfrm>
              <a:off x="124734122" y="119470069"/>
              <a:ext cx="2165389" cy="683904"/>
              <a:chOff x="121166415" y="118451757"/>
              <a:chExt cx="2165389" cy="683904"/>
            </a:xfrm>
          </xdr:grpSpPr>
          <xdr:sp macro="" textlink="">
            <xdr:nvSpPr>
              <xdr:cNvPr id="2845" name="Rectangle 797">
                <a:extLst>
                  <a:ext uri="{FF2B5EF4-FFF2-40B4-BE49-F238E27FC236}">
                    <a16:creationId xmlns="" xmlns:a16="http://schemas.microsoft.com/office/drawing/2014/main" id="{00000000-0008-0000-0300-00001D0B0000}"/>
                  </a:ext>
                </a:extLst>
              </xdr:cNvPr>
              <xdr:cNvSpPr>
                <a:spLocks noChangeArrowheads="1"/>
              </xdr:cNvSpPr>
            </xdr:nvSpPr>
            <xdr:spPr bwMode="auto">
              <a:xfrm>
                <a:off x="121166415" y="118451757"/>
                <a:ext cx="2165389" cy="683904"/>
              </a:xfrm>
              <a:prstGeom prst="rect">
                <a:avLst/>
              </a:prstGeom>
              <a:solidFill>
                <a:srgbClr val="FFFFFF"/>
              </a:solidFill>
              <a:ln w="12700" algn="ctr">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2846" name="AutoShape 798">
                <a:extLst>
                  <a:ext uri="{FF2B5EF4-FFF2-40B4-BE49-F238E27FC236}">
                    <a16:creationId xmlns="" xmlns:a16="http://schemas.microsoft.com/office/drawing/2014/main" id="{00000000-0008-0000-0300-00001E0B0000}"/>
                  </a:ext>
                </a:extLst>
              </xdr:cNvPr>
              <xdr:cNvCxnSpPr>
                <a:cxnSpLocks noChangeShapeType="1"/>
              </xdr:cNvCxnSpPr>
            </xdr:nvCxnSpPr>
            <xdr:spPr bwMode="auto">
              <a:xfrm flipV="1">
                <a:off x="122916040" y="118754704"/>
                <a:ext cx="360000" cy="0"/>
              </a:xfrm>
              <a:prstGeom prst="straightConnector1">
                <a:avLst/>
              </a:prstGeom>
              <a:noFill/>
              <a:ln w="12700" cap="sq"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847" name="AutoShape 799">
                <a:extLst>
                  <a:ext uri="{FF2B5EF4-FFF2-40B4-BE49-F238E27FC236}">
                    <a16:creationId xmlns="" xmlns:a16="http://schemas.microsoft.com/office/drawing/2014/main" id="{00000000-0008-0000-0300-00001F0B0000}"/>
                  </a:ext>
                </a:extLst>
              </xdr:cNvPr>
              <xdr:cNvCxnSpPr>
                <a:cxnSpLocks noChangeShapeType="1"/>
              </xdr:cNvCxnSpPr>
            </xdr:nvCxnSpPr>
            <xdr:spPr bwMode="auto">
              <a:xfrm flipV="1">
                <a:off x="121476040" y="119034405"/>
                <a:ext cx="1800000" cy="0"/>
              </a:xfrm>
              <a:prstGeom prst="straightConnector1">
                <a:avLst/>
              </a:prstGeom>
              <a:noFill/>
              <a:ln w="12700" cap="sq"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848" name="AutoShape 800">
                <a:extLst>
                  <a:ext uri="{FF2B5EF4-FFF2-40B4-BE49-F238E27FC236}">
                    <a16:creationId xmlns="" xmlns:a16="http://schemas.microsoft.com/office/drawing/2014/main" id="{00000000-0008-0000-0300-0000200B0000}"/>
                  </a:ext>
                </a:extLst>
              </xdr:cNvPr>
              <xdr:cNvCxnSpPr>
                <a:cxnSpLocks noChangeShapeType="1"/>
              </xdr:cNvCxnSpPr>
            </xdr:nvCxnSpPr>
            <xdr:spPr bwMode="auto">
              <a:xfrm flipV="1">
                <a:off x="122556040" y="118888237"/>
                <a:ext cx="720000" cy="0"/>
              </a:xfrm>
              <a:prstGeom prst="straightConnector1">
                <a:avLst/>
              </a:prstGeom>
              <a:noFill/>
              <a:ln w="12700" cap="sq"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2849" name="Text Box 801">
                <a:extLst>
                  <a:ext uri="{FF2B5EF4-FFF2-40B4-BE49-F238E27FC236}">
                    <a16:creationId xmlns="" xmlns:a16="http://schemas.microsoft.com/office/drawing/2014/main" id="{00000000-0008-0000-0300-0000210B0000}"/>
                  </a:ext>
                </a:extLst>
              </xdr:cNvPr>
              <xdr:cNvSpPr txBox="1">
                <a:spLocks noChangeArrowheads="1"/>
              </xdr:cNvSpPr>
            </xdr:nvSpPr>
            <xdr:spPr bwMode="auto">
              <a:xfrm>
                <a:off x="122625240" y="118655435"/>
                <a:ext cx="330200" cy="16412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a:p>
                <a:pPr algn="l" rtl="0">
                  <a:defRPr sz="1000"/>
                </a:pPr>
                <a:endParaRPr lang="en-GB" sz="700" b="0" i="0" u="none" strike="noStrike" baseline="0">
                  <a:solidFill>
                    <a:srgbClr val="000000"/>
                  </a:solidFill>
                  <a:latin typeface="Calibri"/>
                  <a:cs typeface="Calibri"/>
                </a:endParaRPr>
              </a:p>
            </xdr:txBody>
          </xdr:sp>
          <xdr:sp macro="" textlink="">
            <xdr:nvSpPr>
              <xdr:cNvPr id="2850" name="Text Box 802">
                <a:extLst>
                  <a:ext uri="{FF2B5EF4-FFF2-40B4-BE49-F238E27FC236}">
                    <a16:creationId xmlns="" xmlns:a16="http://schemas.microsoft.com/office/drawing/2014/main" id="{00000000-0008-0000-0300-0000220B0000}"/>
                  </a:ext>
                </a:extLst>
              </xdr:cNvPr>
              <xdr:cNvSpPr txBox="1">
                <a:spLocks noChangeArrowheads="1"/>
              </xdr:cNvSpPr>
            </xdr:nvSpPr>
            <xdr:spPr bwMode="auto">
              <a:xfrm>
                <a:off x="122257117" y="118789933"/>
                <a:ext cx="330200" cy="16412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a:p>
                <a:pPr algn="l" rtl="0">
                  <a:defRPr sz="1000"/>
                </a:pPr>
                <a:endParaRPr lang="en-GB" sz="700" b="0" i="0" u="none" strike="noStrike" baseline="0">
                  <a:solidFill>
                    <a:srgbClr val="000000"/>
                  </a:solidFill>
                  <a:latin typeface="Calibri"/>
                  <a:cs typeface="Calibri"/>
                </a:endParaRPr>
              </a:p>
            </xdr:txBody>
          </xdr:sp>
          <xdr:sp macro="" textlink="">
            <xdr:nvSpPr>
              <xdr:cNvPr id="2851" name="Text Box 803">
                <a:extLst>
                  <a:ext uri="{FF2B5EF4-FFF2-40B4-BE49-F238E27FC236}">
                    <a16:creationId xmlns="" xmlns:a16="http://schemas.microsoft.com/office/drawing/2014/main" id="{00000000-0008-0000-0300-0000230B0000}"/>
                  </a:ext>
                </a:extLst>
              </xdr:cNvPr>
              <xdr:cNvSpPr txBox="1">
                <a:spLocks noChangeArrowheads="1"/>
              </xdr:cNvSpPr>
            </xdr:nvSpPr>
            <xdr:spPr bwMode="auto">
              <a:xfrm>
                <a:off x="121185591" y="118932805"/>
                <a:ext cx="330200" cy="16412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a:p>
                <a:pPr algn="l" rtl="0">
                  <a:defRPr sz="1000"/>
                </a:pPr>
                <a:endParaRPr lang="en-GB" sz="700" b="0" i="0" u="none" strike="noStrike" baseline="0">
                  <a:solidFill>
                    <a:srgbClr val="000000"/>
                  </a:solidFill>
                  <a:latin typeface="Calibri"/>
                  <a:cs typeface="Calibri"/>
                </a:endParaRPr>
              </a:p>
            </xdr:txBody>
          </xdr:sp>
          <xdr:sp macro="" textlink="">
            <xdr:nvSpPr>
              <xdr:cNvPr id="2852" name="Text Box 804">
                <a:extLst>
                  <a:ext uri="{FF2B5EF4-FFF2-40B4-BE49-F238E27FC236}">
                    <a16:creationId xmlns="" xmlns:a16="http://schemas.microsoft.com/office/drawing/2014/main" id="{00000000-0008-0000-0300-0000240B0000}"/>
                  </a:ext>
                </a:extLst>
              </xdr:cNvPr>
              <xdr:cNvSpPr txBox="1">
                <a:spLocks noChangeArrowheads="1"/>
              </xdr:cNvSpPr>
            </xdr:nvSpPr>
            <xdr:spPr bwMode="auto">
              <a:xfrm>
                <a:off x="121166415" y="118452663"/>
                <a:ext cx="2165389" cy="222990"/>
              </a:xfrm>
              <a:prstGeom prst="rect">
                <a:avLst/>
              </a:prstGeom>
              <a:noFill/>
              <a:ln w="12700" algn="ctr">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a:p>
                <a:pPr algn="l" rtl="0">
                  <a:defRPr sz="1000"/>
                </a:pPr>
                <a:endParaRPr lang="en-GB" sz="1000" b="0" i="0" u="none" strike="noStrike" baseline="0">
                  <a:solidFill>
                    <a:srgbClr val="000000"/>
                  </a:solidFill>
                  <a:latin typeface="Calibri"/>
                  <a:cs typeface="Calibri"/>
                </a:endParaRPr>
              </a:p>
            </xdr:txBody>
          </xdr:sp>
        </xdr:grpSp>
        <xdr:pic>
          <xdr:nvPicPr>
            <xdr:cNvPr id="1046" name="Picture 1045" descr="key for track infomation">
              <a:extLst>
                <a:ext uri="{FF2B5EF4-FFF2-40B4-BE49-F238E27FC236}">
                  <a16:creationId xmlns="" xmlns:a16="http://schemas.microsoft.com/office/drawing/2014/main" id="{00000000-0008-0000-03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16022" y="117750003"/>
              <a:ext cx="1085182" cy="1652159"/>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grpSp>
    </xdr:grpSp>
    <xdr:clientData/>
  </xdr:twoCellAnchor>
  <xdr:twoCellAnchor>
    <xdr:from>
      <xdr:col>0</xdr:col>
      <xdr:colOff>491094</xdr:colOff>
      <xdr:row>26</xdr:row>
      <xdr:rowOff>19793</xdr:rowOff>
    </xdr:from>
    <xdr:to>
      <xdr:col>3</xdr:col>
      <xdr:colOff>294038</xdr:colOff>
      <xdr:row>45</xdr:row>
      <xdr:rowOff>57893</xdr:rowOff>
    </xdr:to>
    <xdr:grpSp>
      <xdr:nvGrpSpPr>
        <xdr:cNvPr id="155" name="Group 25">
          <a:extLst>
            <a:ext uri="{FF2B5EF4-FFF2-40B4-BE49-F238E27FC236}">
              <a16:creationId xmlns="" xmlns:a16="http://schemas.microsoft.com/office/drawing/2014/main" id="{00000000-0008-0000-0300-00009B000000}"/>
            </a:ext>
          </a:extLst>
        </xdr:cNvPr>
        <xdr:cNvGrpSpPr>
          <a:grpSpLocks/>
        </xdr:cNvGrpSpPr>
      </xdr:nvGrpSpPr>
      <xdr:grpSpPr bwMode="auto">
        <a:xfrm>
          <a:off x="491094" y="5680364"/>
          <a:ext cx="8729230" cy="4174672"/>
          <a:chOff x="106860975" y="105289350"/>
          <a:chExt cx="6609369" cy="3656334"/>
        </a:xfrm>
      </xdr:grpSpPr>
      <xdr:pic>
        <xdr:nvPicPr>
          <xdr:cNvPr id="156" name="Picture 155">
            <a:extLst>
              <a:ext uri="{FF2B5EF4-FFF2-40B4-BE49-F238E27FC236}">
                <a16:creationId xmlns="" xmlns:a16="http://schemas.microsoft.com/office/drawing/2014/main" id="{00000000-0008-0000-0300-00009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157" name="AutoShape 27">
            <a:extLst>
              <a:ext uri="{FF2B5EF4-FFF2-40B4-BE49-F238E27FC236}">
                <a16:creationId xmlns="" xmlns:a16="http://schemas.microsoft.com/office/drawing/2014/main" id="{00000000-0008-0000-0300-00009D000000}"/>
              </a:ext>
            </a:extLst>
          </xdr:cNvPr>
          <xdr:cNvCxnSpPr>
            <a:cxnSpLocks noChangeShapeType="1"/>
          </xdr:cNvCxnSpPr>
        </xdr:nvCxnSpPr>
        <xdr:spPr bwMode="auto">
          <a:xfrm flipV="1">
            <a:off x="107858743" y="105538878"/>
            <a:ext cx="4608000" cy="0"/>
          </a:xfrm>
          <a:prstGeom prst="straightConnector1">
            <a:avLst/>
          </a:prstGeom>
          <a:noFill/>
          <a:ln w="12700">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58" name="AutoShape 28">
            <a:extLst>
              <a:ext uri="{FF2B5EF4-FFF2-40B4-BE49-F238E27FC236}">
                <a16:creationId xmlns="" xmlns:a16="http://schemas.microsoft.com/office/drawing/2014/main" id="{00000000-0008-0000-0300-00009E000000}"/>
              </a:ext>
            </a:extLst>
          </xdr:cNvPr>
          <xdr:cNvCxnSpPr>
            <a:cxnSpLocks noChangeShapeType="1"/>
          </xdr:cNvCxnSpPr>
        </xdr:nvCxnSpPr>
        <xdr:spPr bwMode="auto">
          <a:xfrm flipV="1">
            <a:off x="107833405" y="108815290"/>
            <a:ext cx="4608000" cy="0"/>
          </a:xfrm>
          <a:prstGeom prst="straightConnector1">
            <a:avLst/>
          </a:prstGeom>
          <a:noFill/>
          <a:ln w="12700"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59" name="AutoShape 29">
            <a:extLst>
              <a:ext uri="{FF2B5EF4-FFF2-40B4-BE49-F238E27FC236}">
                <a16:creationId xmlns="" xmlns:a16="http://schemas.microsoft.com/office/drawing/2014/main" id="{00000000-0008-0000-0300-00009F000000}"/>
              </a:ext>
            </a:extLst>
          </xdr:cNvPr>
          <xdr:cNvCxnSpPr>
            <a:cxnSpLocks noChangeShapeType="1"/>
          </xdr:cNvCxnSpPr>
        </xdr:nvCxnSpPr>
        <xdr:spPr bwMode="auto">
          <a:xfrm flipV="1">
            <a:off x="107849734" y="105538878"/>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60" name="AutoShape 30">
            <a:extLst>
              <a:ext uri="{FF2B5EF4-FFF2-40B4-BE49-F238E27FC236}">
                <a16:creationId xmlns="" xmlns:a16="http://schemas.microsoft.com/office/drawing/2014/main" id="{00000000-0008-0000-0300-0000A0000000}"/>
              </a:ext>
            </a:extLst>
          </xdr:cNvPr>
          <xdr:cNvCxnSpPr>
            <a:cxnSpLocks noChangeShapeType="1"/>
          </xdr:cNvCxnSpPr>
        </xdr:nvCxnSpPr>
        <xdr:spPr bwMode="auto">
          <a:xfrm flipV="1">
            <a:off x="112417792" y="105545107"/>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161" name="Text Box 31">
            <a:extLst>
              <a:ext uri="{FF2B5EF4-FFF2-40B4-BE49-F238E27FC236}">
                <a16:creationId xmlns="" xmlns:a16="http://schemas.microsoft.com/office/drawing/2014/main" id="{00000000-0008-0000-0300-0000A1000000}"/>
              </a:ext>
            </a:extLst>
          </xdr:cNvPr>
          <xdr:cNvSpPr txBox="1">
            <a:spLocks noChangeArrowheads="1"/>
          </xdr:cNvSpPr>
        </xdr:nvSpPr>
        <xdr:spPr bwMode="auto">
          <a:xfrm>
            <a:off x="112711736" y="105710946"/>
            <a:ext cx="603595" cy="510802"/>
          </a:xfrm>
          <a:prstGeom prst="rect">
            <a:avLst/>
          </a:prstGeom>
          <a:solidFill>
            <a:srgbClr val="FFFFFF"/>
          </a:solidFill>
          <a:ln>
            <a:noFill/>
          </a:ln>
          <a:effectLst/>
          <a:extLs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0</xdr:col>
      <xdr:colOff>462642</xdr:colOff>
      <xdr:row>45</xdr:row>
      <xdr:rowOff>108857</xdr:rowOff>
    </xdr:from>
    <xdr:to>
      <xdr:col>2</xdr:col>
      <xdr:colOff>832756</xdr:colOff>
      <xdr:row>55</xdr:row>
      <xdr:rowOff>163286</xdr:rowOff>
    </xdr:to>
    <xdr:sp macro="" textlink="">
      <xdr:nvSpPr>
        <xdr:cNvPr id="166" name="Text Box 32">
          <a:extLst>
            <a:ext uri="{FF2B5EF4-FFF2-40B4-BE49-F238E27FC236}">
              <a16:creationId xmlns="" xmlns:a16="http://schemas.microsoft.com/office/drawing/2014/main" id="{00000000-0008-0000-0300-0000A6000000}"/>
            </a:ext>
          </a:extLst>
        </xdr:cNvPr>
        <xdr:cNvSpPr txBox="1">
          <a:spLocks noChangeArrowheads="1"/>
        </xdr:cNvSpPr>
      </xdr:nvSpPr>
      <xdr:spPr bwMode="auto">
        <a:xfrm>
          <a:off x="462642" y="8681357"/>
          <a:ext cx="3159578" cy="1959429"/>
        </a:xfrm>
        <a:prstGeom prst="rect">
          <a:avLst/>
        </a:prstGeom>
        <a:solidFill>
          <a:schemeClr val="bg1"/>
        </a:solidFill>
        <a:ln>
          <a:noFill/>
        </a:ln>
        <a:effectLst/>
        <a:extLst/>
      </xdr:spPr>
      <xdr:txBody>
        <a:bodyPr vertOverflow="clip" wrap="square" lIns="36576" tIns="36576" rIns="36576" bIns="36576"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31.8 blocks =1350mm block height of 42.45mm</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44.4 blocks= 1820mm block width of 40.99mm </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Block area = 42.45x40.99 = 1740mm²</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A wheel = 82 blocks</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Half of the buggy (not including wheel) =400.5 blocks</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Half buggy = 482.5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Therefore whole buggy = 965 blocks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965 x 1740mm²= 1659800mm² or 1.6598m²</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125186</xdr:colOff>
      <xdr:row>46</xdr:row>
      <xdr:rowOff>46264</xdr:rowOff>
    </xdr:from>
    <xdr:to>
      <xdr:col>5</xdr:col>
      <xdr:colOff>1430111</xdr:colOff>
      <xdr:row>65</xdr:row>
      <xdr:rowOff>84364</xdr:rowOff>
    </xdr:to>
    <xdr:grpSp>
      <xdr:nvGrpSpPr>
        <xdr:cNvPr id="1049" name="Group 25">
          <a:extLst>
            <a:ext uri="{FF2B5EF4-FFF2-40B4-BE49-F238E27FC236}">
              <a16:creationId xmlns="" xmlns:a16="http://schemas.microsoft.com/office/drawing/2014/main" id="{00000000-0008-0000-0400-000019040000}"/>
            </a:ext>
          </a:extLst>
        </xdr:cNvPr>
        <xdr:cNvGrpSpPr>
          <a:grpSpLocks/>
        </xdr:cNvGrpSpPr>
      </xdr:nvGrpSpPr>
      <xdr:grpSpPr bwMode="auto">
        <a:xfrm>
          <a:off x="125186" y="10142764"/>
          <a:ext cx="8505825" cy="4200525"/>
          <a:chOff x="106860975" y="105289350"/>
          <a:chExt cx="6609369" cy="3656334"/>
        </a:xfrm>
      </xdr:grpSpPr>
      <xdr:pic>
        <xdr:nvPicPr>
          <xdr:cNvPr id="27" name="Picture 26">
            <a:extLst>
              <a:ext uri="{FF2B5EF4-FFF2-40B4-BE49-F238E27FC236}">
                <a16:creationId xmlns="" xmlns:a16="http://schemas.microsoft.com/office/drawing/2014/main" id="{00000000-0008-0000-04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1051" name="AutoShape 27">
            <a:extLst>
              <a:ext uri="{FF2B5EF4-FFF2-40B4-BE49-F238E27FC236}">
                <a16:creationId xmlns="" xmlns:a16="http://schemas.microsoft.com/office/drawing/2014/main" id="{00000000-0008-0000-0400-00001B040000}"/>
              </a:ext>
            </a:extLst>
          </xdr:cNvPr>
          <xdr:cNvCxnSpPr>
            <a:cxnSpLocks noChangeShapeType="1"/>
          </xdr:cNvCxnSpPr>
        </xdr:nvCxnSpPr>
        <xdr:spPr bwMode="auto">
          <a:xfrm flipV="1">
            <a:off x="107858743" y="105538878"/>
            <a:ext cx="4608000" cy="0"/>
          </a:xfrm>
          <a:prstGeom prst="straightConnector1">
            <a:avLst/>
          </a:prstGeom>
          <a:noFill/>
          <a:ln w="12700">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52" name="AutoShape 28">
            <a:extLst>
              <a:ext uri="{FF2B5EF4-FFF2-40B4-BE49-F238E27FC236}">
                <a16:creationId xmlns="" xmlns:a16="http://schemas.microsoft.com/office/drawing/2014/main" id="{00000000-0008-0000-0400-00001C040000}"/>
              </a:ext>
            </a:extLst>
          </xdr:cNvPr>
          <xdr:cNvCxnSpPr>
            <a:cxnSpLocks noChangeShapeType="1"/>
          </xdr:cNvCxnSpPr>
        </xdr:nvCxnSpPr>
        <xdr:spPr bwMode="auto">
          <a:xfrm flipV="1">
            <a:off x="107833405" y="108815290"/>
            <a:ext cx="4608000" cy="0"/>
          </a:xfrm>
          <a:prstGeom prst="straightConnector1">
            <a:avLst/>
          </a:prstGeom>
          <a:noFill/>
          <a:ln w="12700"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53" name="AutoShape 29">
            <a:extLst>
              <a:ext uri="{FF2B5EF4-FFF2-40B4-BE49-F238E27FC236}">
                <a16:creationId xmlns="" xmlns:a16="http://schemas.microsoft.com/office/drawing/2014/main" id="{00000000-0008-0000-0400-00001D040000}"/>
              </a:ext>
            </a:extLst>
          </xdr:cNvPr>
          <xdr:cNvCxnSpPr>
            <a:cxnSpLocks noChangeShapeType="1"/>
          </xdr:cNvCxnSpPr>
        </xdr:nvCxnSpPr>
        <xdr:spPr bwMode="auto">
          <a:xfrm flipV="1">
            <a:off x="107849734" y="105538878"/>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54" name="AutoShape 30">
            <a:extLst>
              <a:ext uri="{FF2B5EF4-FFF2-40B4-BE49-F238E27FC236}">
                <a16:creationId xmlns="" xmlns:a16="http://schemas.microsoft.com/office/drawing/2014/main" id="{00000000-0008-0000-0400-00001E040000}"/>
              </a:ext>
            </a:extLst>
          </xdr:cNvPr>
          <xdr:cNvCxnSpPr>
            <a:cxnSpLocks noChangeShapeType="1"/>
          </xdr:cNvCxnSpPr>
        </xdr:nvCxnSpPr>
        <xdr:spPr bwMode="auto">
          <a:xfrm flipV="1">
            <a:off x="112417792" y="105545107"/>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1055" name="Text Box 31">
            <a:extLst>
              <a:ext uri="{FF2B5EF4-FFF2-40B4-BE49-F238E27FC236}">
                <a16:creationId xmlns="" xmlns:a16="http://schemas.microsoft.com/office/drawing/2014/main" id="{00000000-0008-0000-0400-00001F040000}"/>
              </a:ext>
            </a:extLst>
          </xdr:cNvPr>
          <xdr:cNvSpPr txBox="1">
            <a:spLocks noChangeArrowheads="1"/>
          </xdr:cNvSpPr>
        </xdr:nvSpPr>
        <xdr:spPr bwMode="auto">
          <a:xfrm>
            <a:off x="112711736" y="105710946"/>
            <a:ext cx="603595" cy="510802"/>
          </a:xfrm>
          <a:prstGeom prst="rect">
            <a:avLst/>
          </a:prstGeom>
          <a:solidFill>
            <a:srgbClr val="FFFFFF"/>
          </a:solidFill>
          <a:ln>
            <a:noFill/>
          </a:ln>
          <a:effectLst/>
          <a:extLs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0</xdr:col>
      <xdr:colOff>78923</xdr:colOff>
      <xdr:row>65</xdr:row>
      <xdr:rowOff>168729</xdr:rowOff>
    </xdr:from>
    <xdr:to>
      <xdr:col>2</xdr:col>
      <xdr:colOff>342901</xdr:colOff>
      <xdr:row>74</xdr:row>
      <xdr:rowOff>133350</xdr:rowOff>
    </xdr:to>
    <xdr:sp macro="" textlink="">
      <xdr:nvSpPr>
        <xdr:cNvPr id="1056" name="Text Box 32">
          <a:extLst>
            <a:ext uri="{FF2B5EF4-FFF2-40B4-BE49-F238E27FC236}">
              <a16:creationId xmlns="" xmlns:a16="http://schemas.microsoft.com/office/drawing/2014/main" id="{00000000-0008-0000-0400-000020040000}"/>
            </a:ext>
          </a:extLst>
        </xdr:cNvPr>
        <xdr:cNvSpPr txBox="1">
          <a:spLocks noChangeArrowheads="1"/>
        </xdr:cNvSpPr>
      </xdr:nvSpPr>
      <xdr:spPr bwMode="auto">
        <a:xfrm>
          <a:off x="78923" y="12589329"/>
          <a:ext cx="3159578" cy="16791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31.8 blocks =1350mm block height of 42.45mm</a:t>
          </a:r>
        </a:p>
        <a:p>
          <a:pPr algn="l" rtl="0">
            <a:defRPr sz="1000"/>
          </a:pPr>
          <a:r>
            <a:rPr lang="en-GB" sz="1000" b="0" i="0" u="none" strike="noStrike" baseline="0">
              <a:solidFill>
                <a:srgbClr val="000000"/>
              </a:solidFill>
              <a:latin typeface="Calibri"/>
              <a:cs typeface="Calibri"/>
            </a:rPr>
            <a:t>44.4 blocks= 1820mm block width of 40.99mm </a:t>
          </a:r>
        </a:p>
        <a:p>
          <a:pPr algn="l" rtl="0">
            <a:defRPr sz="1000"/>
          </a:pPr>
          <a:endParaRPr lang="en-GB" sz="1000" b="0" i="0" u="none" strike="noStrike" baseline="0">
            <a:solidFill>
              <a:srgbClr val="000000"/>
            </a:solidFill>
            <a:latin typeface="Calibri"/>
            <a:cs typeface="Calibri"/>
          </a:endParaRPr>
        </a:p>
        <a:p>
          <a:pPr algn="l" rtl="0">
            <a:defRPr sz="1000"/>
          </a:pPr>
          <a:r>
            <a:rPr lang="en-GB" sz="1000" b="0" i="0" u="none" strike="noStrike" baseline="0">
              <a:solidFill>
                <a:srgbClr val="000000"/>
              </a:solidFill>
              <a:latin typeface="Calibri"/>
              <a:cs typeface="Calibri"/>
            </a:rPr>
            <a:t>Block area = 42.45x40.99 = 1740mm²</a:t>
          </a:r>
        </a:p>
        <a:p>
          <a:pPr algn="l" rtl="0">
            <a:defRPr sz="1000"/>
          </a:pPr>
          <a:r>
            <a:rPr lang="en-GB" sz="1000" b="0" i="0" u="none" strike="noStrike" baseline="0">
              <a:solidFill>
                <a:srgbClr val="000000"/>
              </a:solidFill>
              <a:latin typeface="Calibri"/>
              <a:cs typeface="Calibri"/>
            </a:rPr>
            <a:t>A wheel = 82 blocks</a:t>
          </a:r>
        </a:p>
        <a:p>
          <a:pPr algn="l" rtl="0">
            <a:defRPr sz="1000"/>
          </a:pPr>
          <a:r>
            <a:rPr lang="en-GB" sz="1000" b="0" i="0" u="none" strike="noStrike" baseline="0">
              <a:solidFill>
                <a:srgbClr val="000000"/>
              </a:solidFill>
              <a:latin typeface="Calibri"/>
              <a:cs typeface="Calibri"/>
            </a:rPr>
            <a:t>Half of the buggy (not including wheel) =400.5 blocks</a:t>
          </a:r>
        </a:p>
        <a:p>
          <a:pPr algn="l" rtl="0">
            <a:defRPr sz="1000"/>
          </a:pPr>
          <a:r>
            <a:rPr lang="en-GB" sz="1000" b="0" i="0" u="none" strike="noStrike" baseline="0">
              <a:solidFill>
                <a:srgbClr val="000000"/>
              </a:solidFill>
              <a:latin typeface="Calibri"/>
              <a:cs typeface="Calibri"/>
            </a:rPr>
            <a:t>Half buggy = 482.5</a:t>
          </a:r>
        </a:p>
        <a:p>
          <a:pPr algn="l" rtl="0">
            <a:defRPr sz="1000"/>
          </a:pPr>
          <a:r>
            <a:rPr lang="en-GB" sz="1000" b="0" i="0" u="none" strike="noStrike" baseline="0">
              <a:solidFill>
                <a:srgbClr val="000000"/>
              </a:solidFill>
              <a:latin typeface="Calibri"/>
              <a:cs typeface="Calibri"/>
            </a:rPr>
            <a:t>Therefore whole buggy = 965 blocks </a:t>
          </a:r>
        </a:p>
        <a:p>
          <a:pPr algn="l" rtl="0">
            <a:defRPr sz="1000"/>
          </a:pPr>
          <a:r>
            <a:rPr lang="en-GB" sz="1000" b="0" i="0" u="none" strike="noStrike" baseline="0">
              <a:solidFill>
                <a:srgbClr val="000000"/>
              </a:solidFill>
              <a:latin typeface="Calibri"/>
              <a:cs typeface="Calibri"/>
            </a:rPr>
            <a:t>965 x 1740mm²= 1659800mm² or 1.6598m²</a:t>
          </a: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xdr:txBody>
    </xdr:sp>
    <xdr:clientData/>
  </xdr:twoCellAnchor>
  <xdr:twoCellAnchor>
    <xdr:from>
      <xdr:col>9</xdr:col>
      <xdr:colOff>176893</xdr:colOff>
      <xdr:row>36</xdr:row>
      <xdr:rowOff>68037</xdr:rowOff>
    </xdr:from>
    <xdr:to>
      <xdr:col>18</xdr:col>
      <xdr:colOff>911679</xdr:colOff>
      <xdr:row>55</xdr:row>
      <xdr:rowOff>81644</xdr:rowOff>
    </xdr:to>
    <xdr:graphicFrame macro="">
      <xdr:nvGraphicFramePr>
        <xdr:cNvPr id="9" name="Chart 8">
          <a:extLst>
            <a:ext uri="{FF2B5EF4-FFF2-40B4-BE49-F238E27FC236}">
              <a16:creationId xmlns="" xmlns:a16="http://schemas.microsoft.com/office/drawing/2014/main" id="{00000000-0008-0000-04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27</xdr:col>
      <xdr:colOff>949099</xdr:colOff>
      <xdr:row>32</xdr:row>
      <xdr:rowOff>172811</xdr:rowOff>
    </xdr:from>
    <xdr:to>
      <xdr:col>40</xdr:col>
      <xdr:colOff>493259</xdr:colOff>
      <xdr:row>47</xdr:row>
      <xdr:rowOff>58511</xdr:rowOff>
    </xdr:to>
    <xdr:graphicFrame macro="">
      <xdr:nvGraphicFramePr>
        <xdr:cNvPr id="11" name="Chart 10">
          <a:extLst>
            <a:ext uri="{FF2B5EF4-FFF2-40B4-BE49-F238E27FC236}">
              <a16:creationId xmlns="" xmlns:a16="http://schemas.microsoft.com/office/drawing/2014/main" id="{00000000-0008-0000-04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237362</xdr:colOff>
      <xdr:row>116</xdr:row>
      <xdr:rowOff>118269</xdr:rowOff>
    </xdr:from>
    <xdr:to>
      <xdr:col>18</xdr:col>
      <xdr:colOff>918882</xdr:colOff>
      <xdr:row>141</xdr:row>
      <xdr:rowOff>33616</xdr:rowOff>
    </xdr:to>
    <xdr:graphicFrame macro="">
      <xdr:nvGraphicFramePr>
        <xdr:cNvPr id="12" name="Chart 11">
          <a:extLst>
            <a:ext uri="{FF2B5EF4-FFF2-40B4-BE49-F238E27FC236}">
              <a16:creationId xmlns="" xmlns:a16="http://schemas.microsoft.com/office/drawing/2014/main" id="{00000000-0008-0000-04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236341</xdr:colOff>
      <xdr:row>95</xdr:row>
      <xdr:rowOff>121328</xdr:rowOff>
    </xdr:from>
    <xdr:to>
      <xdr:col>18</xdr:col>
      <xdr:colOff>917864</xdr:colOff>
      <xdr:row>116</xdr:row>
      <xdr:rowOff>17317</xdr:rowOff>
    </xdr:to>
    <xdr:graphicFrame macro="">
      <xdr:nvGraphicFramePr>
        <xdr:cNvPr id="13" name="Chart 12">
          <a:extLst>
            <a:ext uri="{FF2B5EF4-FFF2-40B4-BE49-F238E27FC236}">
              <a16:creationId xmlns="" xmlns:a16="http://schemas.microsoft.com/office/drawing/2014/main" id="{00000000-0008-0000-04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225517</xdr:colOff>
      <xdr:row>74</xdr:row>
      <xdr:rowOff>138391</xdr:rowOff>
    </xdr:from>
    <xdr:to>
      <xdr:col>18</xdr:col>
      <xdr:colOff>904874</xdr:colOff>
      <xdr:row>94</xdr:row>
      <xdr:rowOff>95248</xdr:rowOff>
    </xdr:to>
    <xdr:graphicFrame macro="">
      <xdr:nvGraphicFramePr>
        <xdr:cNvPr id="14" name="Chart 13">
          <a:extLst>
            <a:ext uri="{FF2B5EF4-FFF2-40B4-BE49-F238E27FC236}">
              <a16:creationId xmlns="" xmlns:a16="http://schemas.microsoft.com/office/drawing/2014/main" id="{00000000-0008-0000-04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278720</xdr:colOff>
      <xdr:row>167</xdr:row>
      <xdr:rowOff>7640</xdr:rowOff>
    </xdr:from>
    <xdr:to>
      <xdr:col>18</xdr:col>
      <xdr:colOff>917863</xdr:colOff>
      <xdr:row>192</xdr:row>
      <xdr:rowOff>17318</xdr:rowOff>
    </xdr:to>
    <xdr:graphicFrame macro="">
      <xdr:nvGraphicFramePr>
        <xdr:cNvPr id="15" name="Chart 14">
          <a:extLst>
            <a:ext uri="{FF2B5EF4-FFF2-40B4-BE49-F238E27FC236}">
              <a16:creationId xmlns="" xmlns:a16="http://schemas.microsoft.com/office/drawing/2014/main" id="{00000000-0008-0000-04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2050596</xdr:colOff>
      <xdr:row>42</xdr:row>
      <xdr:rowOff>31297</xdr:rowOff>
    </xdr:from>
    <xdr:to>
      <xdr:col>7</xdr:col>
      <xdr:colOff>450397</xdr:colOff>
      <xdr:row>76</xdr:row>
      <xdr:rowOff>59872</xdr:rowOff>
    </xdr:to>
    <xdr:grpSp>
      <xdr:nvGrpSpPr>
        <xdr:cNvPr id="1145" name="Group 121">
          <a:extLst>
            <a:ext uri="{FF2B5EF4-FFF2-40B4-BE49-F238E27FC236}">
              <a16:creationId xmlns="" xmlns:a16="http://schemas.microsoft.com/office/drawing/2014/main" id="{00000000-0008-0000-0400-000079040000}"/>
            </a:ext>
          </a:extLst>
        </xdr:cNvPr>
        <xdr:cNvGrpSpPr>
          <a:grpSpLocks/>
        </xdr:cNvGrpSpPr>
      </xdr:nvGrpSpPr>
      <xdr:grpSpPr bwMode="auto">
        <a:xfrm>
          <a:off x="9251496" y="9251497"/>
          <a:ext cx="7800976" cy="7477125"/>
          <a:chOff x="1208161" y="1138165"/>
          <a:chExt cx="66552" cy="65080"/>
        </a:xfrm>
      </xdr:grpSpPr>
      <xdr:sp macro="" textlink="">
        <xdr:nvSpPr>
          <xdr:cNvPr id="1259" name="Rectangle 235">
            <a:extLst>
              <a:ext uri="{FF2B5EF4-FFF2-40B4-BE49-F238E27FC236}">
                <a16:creationId xmlns="" xmlns:a16="http://schemas.microsoft.com/office/drawing/2014/main" id="{00000000-0008-0000-0400-0000EB040000}"/>
              </a:ext>
            </a:extLst>
          </xdr:cNvPr>
          <xdr:cNvSpPr>
            <a:spLocks noChangeArrowheads="1"/>
          </xdr:cNvSpPr>
        </xdr:nvSpPr>
        <xdr:spPr bwMode="auto">
          <a:xfrm>
            <a:off x="1208161" y="1138165"/>
            <a:ext cx="66553" cy="65081"/>
          </a:xfrm>
          <a:prstGeom prst="rect">
            <a:avLst/>
          </a:prstGeom>
          <a:solidFill>
            <a:srgbClr val="FFFFFF"/>
          </a:solidFill>
          <a:ln w="25400">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nvGrpSpPr>
          <xdr:cNvPr id="1146" name="Group 122">
            <a:extLst>
              <a:ext uri="{FF2B5EF4-FFF2-40B4-BE49-F238E27FC236}">
                <a16:creationId xmlns="" xmlns:a16="http://schemas.microsoft.com/office/drawing/2014/main" id="{00000000-0008-0000-0400-00007A040000}"/>
              </a:ext>
            </a:extLst>
          </xdr:cNvPr>
          <xdr:cNvGrpSpPr>
            <a:grpSpLocks/>
          </xdr:cNvGrpSpPr>
        </xdr:nvGrpSpPr>
        <xdr:grpSpPr bwMode="auto">
          <a:xfrm>
            <a:off x="1210251" y="1140816"/>
            <a:ext cx="63303" cy="60721"/>
            <a:chOff x="1205709" y="1141521"/>
            <a:chExt cx="63302" cy="60720"/>
          </a:xfrm>
        </xdr:grpSpPr>
        <xdr:grpSp>
          <xdr:nvGrpSpPr>
            <xdr:cNvPr id="1157" name="Group 133">
              <a:extLst>
                <a:ext uri="{FF2B5EF4-FFF2-40B4-BE49-F238E27FC236}">
                  <a16:creationId xmlns="" xmlns:a16="http://schemas.microsoft.com/office/drawing/2014/main" id="{00000000-0008-0000-0400-000085040000}"/>
                </a:ext>
              </a:extLst>
            </xdr:cNvPr>
            <xdr:cNvGrpSpPr>
              <a:grpSpLocks noChangeAspect="1"/>
            </xdr:cNvGrpSpPr>
          </xdr:nvGrpSpPr>
          <xdr:grpSpPr bwMode="auto">
            <a:xfrm>
              <a:off x="1205709" y="1141521"/>
              <a:ext cx="63303" cy="60721"/>
              <a:chOff x="1136185" y="1151158"/>
              <a:chExt cx="44206" cy="42404"/>
            </a:xfrm>
          </xdr:grpSpPr>
          <xdr:grpSp>
            <xdr:nvGrpSpPr>
              <xdr:cNvPr id="1184" name="Group 160">
                <a:extLst>
                  <a:ext uri="{FF2B5EF4-FFF2-40B4-BE49-F238E27FC236}">
                    <a16:creationId xmlns="" xmlns:a16="http://schemas.microsoft.com/office/drawing/2014/main" id="{00000000-0008-0000-0400-0000A0040000}"/>
                  </a:ext>
                </a:extLst>
              </xdr:cNvPr>
              <xdr:cNvGrpSpPr>
                <a:grpSpLocks noChangeAspect="1"/>
              </xdr:cNvGrpSpPr>
            </xdr:nvGrpSpPr>
            <xdr:grpSpPr bwMode="auto">
              <a:xfrm>
                <a:off x="1136185" y="1151158"/>
                <a:ext cx="44207" cy="42404"/>
                <a:chOff x="1073558" y="1152056"/>
                <a:chExt cx="44206" cy="42404"/>
              </a:xfrm>
            </xdr:grpSpPr>
            <xdr:grpSp>
              <xdr:nvGrpSpPr>
                <xdr:cNvPr id="1206" name="Group 182">
                  <a:extLst>
                    <a:ext uri="{FF2B5EF4-FFF2-40B4-BE49-F238E27FC236}">
                      <a16:creationId xmlns="" xmlns:a16="http://schemas.microsoft.com/office/drawing/2014/main" id="{00000000-0008-0000-0400-0000B6040000}"/>
                    </a:ext>
                  </a:extLst>
                </xdr:cNvPr>
                <xdr:cNvGrpSpPr>
                  <a:grpSpLocks noChangeAspect="1"/>
                </xdr:cNvGrpSpPr>
              </xdr:nvGrpSpPr>
              <xdr:grpSpPr bwMode="auto">
                <a:xfrm>
                  <a:off x="1076245" y="1152953"/>
                  <a:ext cx="41520" cy="40988"/>
                  <a:chOff x="1077800" y="1104147"/>
                  <a:chExt cx="41520" cy="40988"/>
                </a:xfrm>
              </xdr:grpSpPr>
              <xdr:grpSp>
                <xdr:nvGrpSpPr>
                  <xdr:cNvPr id="1208" name="Group 184">
                    <a:extLst>
                      <a:ext uri="{FF2B5EF4-FFF2-40B4-BE49-F238E27FC236}">
                        <a16:creationId xmlns="" xmlns:a16="http://schemas.microsoft.com/office/drawing/2014/main" id="{00000000-0008-0000-0400-0000B8040000}"/>
                      </a:ext>
                    </a:extLst>
                  </xdr:cNvPr>
                  <xdr:cNvGrpSpPr>
                    <a:grpSpLocks noChangeAspect="1"/>
                  </xdr:cNvGrpSpPr>
                </xdr:nvGrpSpPr>
                <xdr:grpSpPr bwMode="auto">
                  <a:xfrm>
                    <a:off x="1077800" y="1104147"/>
                    <a:ext cx="41520" cy="40988"/>
                    <a:chOff x="1077800" y="1104147"/>
                    <a:chExt cx="41520" cy="40988"/>
                  </a:xfrm>
                </xdr:grpSpPr>
                <xdr:grpSp>
                  <xdr:nvGrpSpPr>
                    <xdr:cNvPr id="1225" name="Group 201">
                      <a:extLst>
                        <a:ext uri="{FF2B5EF4-FFF2-40B4-BE49-F238E27FC236}">
                          <a16:creationId xmlns="" xmlns:a16="http://schemas.microsoft.com/office/drawing/2014/main" id="{00000000-0008-0000-0400-0000C9040000}"/>
                        </a:ext>
                      </a:extLst>
                    </xdr:cNvPr>
                    <xdr:cNvGrpSpPr>
                      <a:grpSpLocks noChangeAspect="1"/>
                    </xdr:cNvGrpSpPr>
                  </xdr:nvGrpSpPr>
                  <xdr:grpSpPr bwMode="auto">
                    <a:xfrm>
                      <a:off x="1077800" y="1104147"/>
                      <a:ext cx="41520" cy="40988"/>
                      <a:chOff x="1077848" y="1104147"/>
                      <a:chExt cx="41520" cy="40988"/>
                    </a:xfrm>
                  </xdr:grpSpPr>
                  <xdr:sp macro="" textlink="">
                    <xdr:nvSpPr>
                      <xdr:cNvPr id="1258" name="Freeform 234">
                        <a:extLst>
                          <a:ext uri="{FF2B5EF4-FFF2-40B4-BE49-F238E27FC236}">
                            <a16:creationId xmlns="" xmlns:a16="http://schemas.microsoft.com/office/drawing/2014/main" id="{00000000-0008-0000-0400-0000EA040000}"/>
                          </a:ext>
                        </a:extLst>
                      </xdr:cNvPr>
                      <xdr:cNvSpPr>
                        <a:spLocks noChangeAspect="1"/>
                      </xdr:cNvSpPr>
                    </xdr:nvSpPr>
                    <xdr:spPr bwMode="auto">
                      <a:xfrm>
                        <a:off x="1084478" y="1105153"/>
                        <a:ext cx="27106" cy="38303"/>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7" name="AutoShape 233">
                        <a:extLst>
                          <a:ext uri="{FF2B5EF4-FFF2-40B4-BE49-F238E27FC236}">
                            <a16:creationId xmlns="" xmlns:a16="http://schemas.microsoft.com/office/drawing/2014/main" id="{00000000-0008-0000-0400-0000E9040000}"/>
                          </a:ext>
                        </a:extLst>
                      </xdr:cNvPr>
                      <xdr:cNvSpPr>
                        <a:spLocks noChangeAspect="1" noChangeShapeType="1"/>
                      </xdr:cNvSpPr>
                    </xdr:nvSpPr>
                    <xdr:spPr bwMode="auto">
                      <a:xfrm>
                        <a:off x="1077848" y="1104147"/>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6" name="AutoShape 232">
                        <a:extLst>
                          <a:ext uri="{FF2B5EF4-FFF2-40B4-BE49-F238E27FC236}">
                            <a16:creationId xmlns="" xmlns:a16="http://schemas.microsoft.com/office/drawing/2014/main" id="{00000000-0008-0000-0400-0000E8040000}"/>
                          </a:ext>
                        </a:extLst>
                      </xdr:cNvPr>
                      <xdr:cNvSpPr>
                        <a:spLocks noChangeAspect="1" noChangeShapeType="1"/>
                      </xdr:cNvSpPr>
                    </xdr:nvSpPr>
                    <xdr:spPr bwMode="auto">
                      <a:xfrm>
                        <a:off x="1077848" y="1106192"/>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5" name="AutoShape 231">
                        <a:extLst>
                          <a:ext uri="{FF2B5EF4-FFF2-40B4-BE49-F238E27FC236}">
                            <a16:creationId xmlns="" xmlns:a16="http://schemas.microsoft.com/office/drawing/2014/main" id="{00000000-0008-0000-0400-0000E7040000}"/>
                          </a:ext>
                        </a:extLst>
                      </xdr:cNvPr>
                      <xdr:cNvSpPr>
                        <a:spLocks noChangeAspect="1" noChangeShapeType="1"/>
                      </xdr:cNvSpPr>
                    </xdr:nvSpPr>
                    <xdr:spPr bwMode="auto">
                      <a:xfrm>
                        <a:off x="1077848" y="110823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4" name="AutoShape 230">
                        <a:extLst>
                          <a:ext uri="{FF2B5EF4-FFF2-40B4-BE49-F238E27FC236}">
                            <a16:creationId xmlns="" xmlns:a16="http://schemas.microsoft.com/office/drawing/2014/main" id="{00000000-0008-0000-0400-0000E6040000}"/>
                          </a:ext>
                        </a:extLst>
                      </xdr:cNvPr>
                      <xdr:cNvSpPr>
                        <a:spLocks noChangeAspect="1" noChangeShapeType="1"/>
                      </xdr:cNvSpPr>
                    </xdr:nvSpPr>
                    <xdr:spPr bwMode="auto">
                      <a:xfrm>
                        <a:off x="1077848" y="111028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3" name="AutoShape 229">
                        <a:extLst>
                          <a:ext uri="{FF2B5EF4-FFF2-40B4-BE49-F238E27FC236}">
                            <a16:creationId xmlns="" xmlns:a16="http://schemas.microsoft.com/office/drawing/2014/main" id="{00000000-0008-0000-0400-0000E5040000}"/>
                          </a:ext>
                        </a:extLst>
                      </xdr:cNvPr>
                      <xdr:cNvSpPr>
                        <a:spLocks noChangeAspect="1" noChangeShapeType="1"/>
                      </xdr:cNvSpPr>
                    </xdr:nvSpPr>
                    <xdr:spPr bwMode="auto">
                      <a:xfrm>
                        <a:off x="1077848" y="111232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2" name="AutoShape 228">
                        <a:extLst>
                          <a:ext uri="{FF2B5EF4-FFF2-40B4-BE49-F238E27FC236}">
                            <a16:creationId xmlns="" xmlns:a16="http://schemas.microsoft.com/office/drawing/2014/main" id="{00000000-0008-0000-0400-0000E4040000}"/>
                          </a:ext>
                        </a:extLst>
                      </xdr:cNvPr>
                      <xdr:cNvSpPr>
                        <a:spLocks noChangeAspect="1" noChangeShapeType="1"/>
                      </xdr:cNvSpPr>
                    </xdr:nvSpPr>
                    <xdr:spPr bwMode="auto">
                      <a:xfrm>
                        <a:off x="1077848" y="1114373"/>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1" name="AutoShape 227">
                        <a:extLst>
                          <a:ext uri="{FF2B5EF4-FFF2-40B4-BE49-F238E27FC236}">
                            <a16:creationId xmlns="" xmlns:a16="http://schemas.microsoft.com/office/drawing/2014/main" id="{00000000-0008-0000-0400-0000E3040000}"/>
                          </a:ext>
                        </a:extLst>
                      </xdr:cNvPr>
                      <xdr:cNvSpPr>
                        <a:spLocks noChangeAspect="1" noChangeShapeType="1"/>
                      </xdr:cNvSpPr>
                    </xdr:nvSpPr>
                    <xdr:spPr bwMode="auto">
                      <a:xfrm>
                        <a:off x="1077848" y="1116418"/>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0" name="AutoShape 226">
                        <a:extLst>
                          <a:ext uri="{FF2B5EF4-FFF2-40B4-BE49-F238E27FC236}">
                            <a16:creationId xmlns="" xmlns:a16="http://schemas.microsoft.com/office/drawing/2014/main" id="{00000000-0008-0000-0400-0000E2040000}"/>
                          </a:ext>
                        </a:extLst>
                      </xdr:cNvPr>
                      <xdr:cNvSpPr>
                        <a:spLocks noChangeAspect="1" noChangeShapeType="1"/>
                      </xdr:cNvSpPr>
                    </xdr:nvSpPr>
                    <xdr:spPr bwMode="auto">
                      <a:xfrm>
                        <a:off x="1077848" y="1118464"/>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9" name="AutoShape 225">
                        <a:extLst>
                          <a:ext uri="{FF2B5EF4-FFF2-40B4-BE49-F238E27FC236}">
                            <a16:creationId xmlns="" xmlns:a16="http://schemas.microsoft.com/office/drawing/2014/main" id="{00000000-0008-0000-0400-0000E1040000}"/>
                          </a:ext>
                        </a:extLst>
                      </xdr:cNvPr>
                      <xdr:cNvSpPr>
                        <a:spLocks noChangeAspect="1" noChangeShapeType="1"/>
                      </xdr:cNvSpPr>
                    </xdr:nvSpPr>
                    <xdr:spPr bwMode="auto">
                      <a:xfrm>
                        <a:off x="1077848" y="1120462"/>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8" name="AutoShape 224">
                        <a:extLst>
                          <a:ext uri="{FF2B5EF4-FFF2-40B4-BE49-F238E27FC236}">
                            <a16:creationId xmlns="" xmlns:a16="http://schemas.microsoft.com/office/drawing/2014/main" id="{00000000-0008-0000-0400-0000E0040000}"/>
                          </a:ext>
                        </a:extLst>
                      </xdr:cNvPr>
                      <xdr:cNvSpPr>
                        <a:spLocks noChangeAspect="1" noChangeShapeType="1"/>
                      </xdr:cNvSpPr>
                    </xdr:nvSpPr>
                    <xdr:spPr bwMode="auto">
                      <a:xfrm>
                        <a:off x="1077848" y="112250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7" name="AutoShape 223">
                        <a:extLst>
                          <a:ext uri="{FF2B5EF4-FFF2-40B4-BE49-F238E27FC236}">
                            <a16:creationId xmlns="" xmlns:a16="http://schemas.microsoft.com/office/drawing/2014/main" id="{00000000-0008-0000-0400-0000DF040000}"/>
                          </a:ext>
                        </a:extLst>
                      </xdr:cNvPr>
                      <xdr:cNvSpPr>
                        <a:spLocks noChangeAspect="1" noChangeShapeType="1"/>
                      </xdr:cNvSpPr>
                    </xdr:nvSpPr>
                    <xdr:spPr bwMode="auto">
                      <a:xfrm>
                        <a:off x="1077848" y="112455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6" name="AutoShape 222">
                        <a:extLst>
                          <a:ext uri="{FF2B5EF4-FFF2-40B4-BE49-F238E27FC236}">
                            <a16:creationId xmlns="" xmlns:a16="http://schemas.microsoft.com/office/drawing/2014/main" id="{00000000-0008-0000-0400-0000DE040000}"/>
                          </a:ext>
                        </a:extLst>
                      </xdr:cNvPr>
                      <xdr:cNvSpPr>
                        <a:spLocks noChangeAspect="1" noChangeShapeType="1"/>
                      </xdr:cNvSpPr>
                    </xdr:nvSpPr>
                    <xdr:spPr bwMode="auto">
                      <a:xfrm>
                        <a:off x="1077848" y="112659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5" name="AutoShape 221">
                        <a:extLst>
                          <a:ext uri="{FF2B5EF4-FFF2-40B4-BE49-F238E27FC236}">
                            <a16:creationId xmlns="" xmlns:a16="http://schemas.microsoft.com/office/drawing/2014/main" id="{00000000-0008-0000-0400-0000DD040000}"/>
                          </a:ext>
                        </a:extLst>
                      </xdr:cNvPr>
                      <xdr:cNvSpPr>
                        <a:spLocks noChangeAspect="1" noChangeShapeType="1"/>
                      </xdr:cNvSpPr>
                    </xdr:nvSpPr>
                    <xdr:spPr bwMode="auto">
                      <a:xfrm>
                        <a:off x="1077848" y="1128529"/>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4" name="AutoShape 220">
                        <a:extLst>
                          <a:ext uri="{FF2B5EF4-FFF2-40B4-BE49-F238E27FC236}">
                            <a16:creationId xmlns="" xmlns:a16="http://schemas.microsoft.com/office/drawing/2014/main" id="{00000000-0008-0000-0400-0000DC040000}"/>
                          </a:ext>
                        </a:extLst>
                      </xdr:cNvPr>
                      <xdr:cNvSpPr>
                        <a:spLocks noChangeAspect="1" noChangeShapeType="1"/>
                      </xdr:cNvSpPr>
                    </xdr:nvSpPr>
                    <xdr:spPr bwMode="auto">
                      <a:xfrm>
                        <a:off x="1077848" y="1130574"/>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3" name="AutoShape 219">
                        <a:extLst>
                          <a:ext uri="{FF2B5EF4-FFF2-40B4-BE49-F238E27FC236}">
                            <a16:creationId xmlns="" xmlns:a16="http://schemas.microsoft.com/office/drawing/2014/main" id="{00000000-0008-0000-0400-0000DB040000}"/>
                          </a:ext>
                        </a:extLst>
                      </xdr:cNvPr>
                      <xdr:cNvSpPr>
                        <a:spLocks noChangeAspect="1" noChangeShapeType="1"/>
                      </xdr:cNvSpPr>
                    </xdr:nvSpPr>
                    <xdr:spPr bwMode="auto">
                      <a:xfrm>
                        <a:off x="1077848" y="1132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2" name="AutoShape 218">
                        <a:extLst>
                          <a:ext uri="{FF2B5EF4-FFF2-40B4-BE49-F238E27FC236}">
                            <a16:creationId xmlns="" xmlns:a16="http://schemas.microsoft.com/office/drawing/2014/main" id="{00000000-0008-0000-0400-0000DA040000}"/>
                          </a:ext>
                        </a:extLst>
                      </xdr:cNvPr>
                      <xdr:cNvSpPr>
                        <a:spLocks noChangeAspect="1" noChangeShapeType="1"/>
                      </xdr:cNvSpPr>
                    </xdr:nvSpPr>
                    <xdr:spPr bwMode="auto">
                      <a:xfrm>
                        <a:off x="1077848" y="113466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1" name="AutoShape 217">
                        <a:extLst>
                          <a:ext uri="{FF2B5EF4-FFF2-40B4-BE49-F238E27FC236}">
                            <a16:creationId xmlns="" xmlns:a16="http://schemas.microsoft.com/office/drawing/2014/main" id="{00000000-0008-0000-0400-0000D9040000}"/>
                          </a:ext>
                        </a:extLst>
                      </xdr:cNvPr>
                      <xdr:cNvSpPr>
                        <a:spLocks noChangeAspect="1" noChangeShapeType="1"/>
                      </xdr:cNvSpPr>
                    </xdr:nvSpPr>
                    <xdr:spPr bwMode="auto">
                      <a:xfrm>
                        <a:off x="1077860" y="113657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0" name="AutoShape 216">
                        <a:extLst>
                          <a:ext uri="{FF2B5EF4-FFF2-40B4-BE49-F238E27FC236}">
                            <a16:creationId xmlns="" xmlns:a16="http://schemas.microsoft.com/office/drawing/2014/main" id="{00000000-0008-0000-0400-0000D8040000}"/>
                          </a:ext>
                        </a:extLst>
                      </xdr:cNvPr>
                      <xdr:cNvSpPr>
                        <a:spLocks noChangeAspect="1" noChangeShapeType="1"/>
                      </xdr:cNvSpPr>
                    </xdr:nvSpPr>
                    <xdr:spPr bwMode="auto">
                      <a:xfrm>
                        <a:off x="1077860" y="1138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9" name="AutoShape 215">
                        <a:extLst>
                          <a:ext uri="{FF2B5EF4-FFF2-40B4-BE49-F238E27FC236}">
                            <a16:creationId xmlns="" xmlns:a16="http://schemas.microsoft.com/office/drawing/2014/main" id="{00000000-0008-0000-0400-0000D7040000}"/>
                          </a:ext>
                        </a:extLst>
                      </xdr:cNvPr>
                      <xdr:cNvSpPr>
                        <a:spLocks noChangeAspect="1" noChangeShapeType="1"/>
                      </xdr:cNvSpPr>
                    </xdr:nvSpPr>
                    <xdr:spPr bwMode="auto">
                      <a:xfrm>
                        <a:off x="1077860" y="1140665"/>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8" name="AutoShape 214">
                        <a:extLst>
                          <a:ext uri="{FF2B5EF4-FFF2-40B4-BE49-F238E27FC236}">
                            <a16:creationId xmlns="" xmlns:a16="http://schemas.microsoft.com/office/drawing/2014/main" id="{00000000-0008-0000-0400-0000D6040000}"/>
                          </a:ext>
                        </a:extLst>
                      </xdr:cNvPr>
                      <xdr:cNvSpPr>
                        <a:spLocks noChangeAspect="1" noChangeShapeType="1"/>
                      </xdr:cNvSpPr>
                    </xdr:nvSpPr>
                    <xdr:spPr bwMode="auto">
                      <a:xfrm>
                        <a:off x="1077860" y="1142710"/>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7" name="AutoShape 213">
                        <a:extLst>
                          <a:ext uri="{FF2B5EF4-FFF2-40B4-BE49-F238E27FC236}">
                            <a16:creationId xmlns="" xmlns:a16="http://schemas.microsoft.com/office/drawing/2014/main" id="{00000000-0008-0000-0400-0000D5040000}"/>
                          </a:ext>
                        </a:extLst>
                      </xdr:cNvPr>
                      <xdr:cNvSpPr>
                        <a:spLocks noChangeAspect="1" noChangeShapeType="1"/>
                      </xdr:cNvSpPr>
                    </xdr:nvSpPr>
                    <xdr:spPr bwMode="auto">
                      <a:xfrm>
                        <a:off x="1077860" y="1144756"/>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6" name="AutoShape 212">
                        <a:extLst>
                          <a:ext uri="{FF2B5EF4-FFF2-40B4-BE49-F238E27FC236}">
                            <a16:creationId xmlns="" xmlns:a16="http://schemas.microsoft.com/office/drawing/2014/main" id="{00000000-0008-0000-0400-0000D4040000}"/>
                          </a:ext>
                        </a:extLst>
                      </xdr:cNvPr>
                      <xdr:cNvSpPr>
                        <a:spLocks noChangeAspect="1" noChangeShapeType="1"/>
                      </xdr:cNvSpPr>
                    </xdr:nvSpPr>
                    <xdr:spPr bwMode="auto">
                      <a:xfrm flipH="1">
                        <a:off x="1095767" y="1113950"/>
                        <a:ext cx="106" cy="3095"/>
                      </a:xfrm>
                      <a:prstGeom prst="straightConnector1">
                        <a:avLst/>
                      </a:prstGeom>
                      <a:noFill/>
                      <a:ln w="88900">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5" name="AutoShape 211">
                        <a:extLst>
                          <a:ext uri="{FF2B5EF4-FFF2-40B4-BE49-F238E27FC236}">
                            <a16:creationId xmlns="" xmlns:a16="http://schemas.microsoft.com/office/drawing/2014/main" id="{00000000-0008-0000-0400-0000D3040000}"/>
                          </a:ext>
                        </a:extLst>
                      </xdr:cNvPr>
                      <xdr:cNvSpPr>
                        <a:spLocks noChangeAspect="1" noChangeShapeType="1"/>
                      </xdr:cNvSpPr>
                    </xdr:nvSpPr>
                    <xdr:spPr bwMode="auto">
                      <a:xfrm flipV="1">
                        <a:off x="1098071" y="1120986"/>
                        <a:ext cx="668" cy="3130"/>
                      </a:xfrm>
                      <a:prstGeom prst="straightConnector1">
                        <a:avLst/>
                      </a:prstGeom>
                      <a:noFill/>
                      <a:ln w="88900">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4" name="AutoShape 210">
                        <a:extLst>
                          <a:ext uri="{FF2B5EF4-FFF2-40B4-BE49-F238E27FC236}">
                            <a16:creationId xmlns="" xmlns:a16="http://schemas.microsoft.com/office/drawing/2014/main" id="{00000000-0008-0000-0400-0000D2040000}"/>
                          </a:ext>
                        </a:extLst>
                      </xdr:cNvPr>
                      <xdr:cNvSpPr>
                        <a:spLocks noChangeAspect="1" noChangeShapeType="1"/>
                      </xdr:cNvSpPr>
                    </xdr:nvSpPr>
                    <xdr:spPr bwMode="auto">
                      <a:xfrm flipV="1">
                        <a:off x="1105193" y="1128635"/>
                        <a:ext cx="281" cy="5170"/>
                      </a:xfrm>
                      <a:prstGeom prst="straightConnector1">
                        <a:avLst/>
                      </a:prstGeom>
                      <a:noFill/>
                      <a:ln w="88900">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3" name="AutoShape 209">
                        <a:extLst>
                          <a:ext uri="{FF2B5EF4-FFF2-40B4-BE49-F238E27FC236}">
                            <a16:creationId xmlns="" xmlns:a16="http://schemas.microsoft.com/office/drawing/2014/main" id="{00000000-0008-0000-0400-0000D1040000}"/>
                          </a:ext>
                        </a:extLst>
                      </xdr:cNvPr>
                      <xdr:cNvSpPr>
                        <a:spLocks noChangeAspect="1" noChangeShapeType="1"/>
                      </xdr:cNvSpPr>
                    </xdr:nvSpPr>
                    <xdr:spPr bwMode="auto">
                      <a:xfrm flipV="1">
                        <a:off x="1083193" y="1128529"/>
                        <a:ext cx="2799" cy="2"/>
                      </a:xfrm>
                      <a:prstGeom prst="straightConnector1">
                        <a:avLst/>
                      </a:prstGeom>
                      <a:noFill/>
                      <a:ln w="31750">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2" name="AutoShape 208">
                        <a:extLst>
                          <a:ext uri="{FF2B5EF4-FFF2-40B4-BE49-F238E27FC236}">
                            <a16:creationId xmlns="" xmlns:a16="http://schemas.microsoft.com/office/drawing/2014/main" id="{00000000-0008-0000-0400-0000D0040000}"/>
                          </a:ext>
                        </a:extLst>
                      </xdr:cNvPr>
                      <xdr:cNvSpPr>
                        <a:spLocks noChangeAspect="1" noChangeShapeType="1"/>
                      </xdr:cNvSpPr>
                    </xdr:nvSpPr>
                    <xdr:spPr bwMode="auto">
                      <a:xfrm flipH="1">
                        <a:off x="1095725" y="11170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1" name="AutoShape 207">
                        <a:extLst>
                          <a:ext uri="{FF2B5EF4-FFF2-40B4-BE49-F238E27FC236}">
                            <a16:creationId xmlns="" xmlns:a16="http://schemas.microsoft.com/office/drawing/2014/main" id="{00000000-0008-0000-0400-0000CF040000}"/>
                          </a:ext>
                        </a:extLst>
                      </xdr:cNvPr>
                      <xdr:cNvSpPr>
                        <a:spLocks noChangeAspect="1" noChangeShapeType="1"/>
                      </xdr:cNvSpPr>
                    </xdr:nvSpPr>
                    <xdr:spPr bwMode="auto">
                      <a:xfrm flipH="1">
                        <a:off x="1095767" y="111544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0" name="AutoShape 206">
                        <a:extLst>
                          <a:ext uri="{FF2B5EF4-FFF2-40B4-BE49-F238E27FC236}">
                            <a16:creationId xmlns="" xmlns:a16="http://schemas.microsoft.com/office/drawing/2014/main" id="{00000000-0008-0000-0400-0000CE040000}"/>
                          </a:ext>
                        </a:extLst>
                      </xdr:cNvPr>
                      <xdr:cNvSpPr>
                        <a:spLocks noChangeAspect="1" noChangeShapeType="1"/>
                      </xdr:cNvSpPr>
                    </xdr:nvSpPr>
                    <xdr:spPr bwMode="auto">
                      <a:xfrm flipH="1">
                        <a:off x="1095767" y="1113937"/>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9" name="AutoShape 205">
                        <a:extLst>
                          <a:ext uri="{FF2B5EF4-FFF2-40B4-BE49-F238E27FC236}">
                            <a16:creationId xmlns="" xmlns:a16="http://schemas.microsoft.com/office/drawing/2014/main" id="{00000000-0008-0000-0400-0000CD040000}"/>
                          </a:ext>
                        </a:extLst>
                      </xdr:cNvPr>
                      <xdr:cNvSpPr>
                        <a:spLocks noChangeAspect="1" noChangeShapeType="1"/>
                      </xdr:cNvSpPr>
                    </xdr:nvSpPr>
                    <xdr:spPr bwMode="auto">
                      <a:xfrm flipH="1">
                        <a:off x="1096319" y="1112707"/>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8" name="AutoShape 204">
                        <a:extLst>
                          <a:ext uri="{FF2B5EF4-FFF2-40B4-BE49-F238E27FC236}">
                            <a16:creationId xmlns="" xmlns:a16="http://schemas.microsoft.com/office/drawing/2014/main" id="{00000000-0008-0000-0400-0000CC040000}"/>
                          </a:ext>
                        </a:extLst>
                      </xdr:cNvPr>
                      <xdr:cNvSpPr>
                        <a:spLocks noChangeAspect="1" noChangeShapeType="1"/>
                      </xdr:cNvSpPr>
                    </xdr:nvSpPr>
                    <xdr:spPr bwMode="auto">
                      <a:xfrm flipH="1">
                        <a:off x="1098908" y="1111142"/>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7" name="AutoShape 203">
                        <a:extLst>
                          <a:ext uri="{FF2B5EF4-FFF2-40B4-BE49-F238E27FC236}">
                            <a16:creationId xmlns="" xmlns:a16="http://schemas.microsoft.com/office/drawing/2014/main" id="{00000000-0008-0000-0400-0000CB040000}"/>
                          </a:ext>
                        </a:extLst>
                      </xdr:cNvPr>
                      <xdr:cNvSpPr>
                        <a:spLocks noChangeAspect="1" noChangeShapeType="1"/>
                      </xdr:cNvSpPr>
                    </xdr:nvSpPr>
                    <xdr:spPr bwMode="auto">
                      <a:xfrm flipH="1">
                        <a:off x="1096110" y="110529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6" name="AutoShape 202">
                        <a:extLst>
                          <a:ext uri="{FF2B5EF4-FFF2-40B4-BE49-F238E27FC236}">
                            <a16:creationId xmlns="" xmlns:a16="http://schemas.microsoft.com/office/drawing/2014/main" id="{00000000-0008-0000-0400-0000CA040000}"/>
                          </a:ext>
                        </a:extLst>
                      </xdr:cNvPr>
                      <xdr:cNvSpPr>
                        <a:spLocks noChangeAspect="1" noChangeShapeType="1"/>
                      </xdr:cNvSpPr>
                    </xdr:nvSpPr>
                    <xdr:spPr bwMode="auto">
                      <a:xfrm flipH="1">
                        <a:off x="1084879" y="111501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1224" name="AutoShape 200">
                      <a:extLst>
                        <a:ext uri="{FF2B5EF4-FFF2-40B4-BE49-F238E27FC236}">
                          <a16:creationId xmlns="" xmlns:a16="http://schemas.microsoft.com/office/drawing/2014/main" id="{00000000-0008-0000-0400-0000C8040000}"/>
                        </a:ext>
                      </a:extLst>
                    </xdr:cNvPr>
                    <xdr:cNvSpPr>
                      <a:spLocks noChangeAspect="1" noChangeShapeType="1"/>
                    </xdr:cNvSpPr>
                  </xdr:nvSpPr>
                  <xdr:spPr bwMode="auto">
                    <a:xfrm flipH="1">
                      <a:off x="1096670" y="114018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3" name="AutoShape 199">
                      <a:extLst>
                        <a:ext uri="{FF2B5EF4-FFF2-40B4-BE49-F238E27FC236}">
                          <a16:creationId xmlns="" xmlns:a16="http://schemas.microsoft.com/office/drawing/2014/main" id="{00000000-0008-0000-0400-0000C7040000}"/>
                        </a:ext>
                      </a:extLst>
                    </xdr:cNvPr>
                    <xdr:cNvSpPr>
                      <a:spLocks noChangeAspect="1" noChangeShapeType="1"/>
                    </xdr:cNvSpPr>
                  </xdr:nvSpPr>
                  <xdr:spPr bwMode="auto">
                    <a:xfrm flipH="1">
                      <a:off x="1096110" y="113391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2" name="AutoShape 198">
                      <a:extLst>
                        <a:ext uri="{FF2B5EF4-FFF2-40B4-BE49-F238E27FC236}">
                          <a16:creationId xmlns="" xmlns:a16="http://schemas.microsoft.com/office/drawing/2014/main" id="{00000000-0008-0000-0400-0000C6040000}"/>
                        </a:ext>
                      </a:extLst>
                    </xdr:cNvPr>
                    <xdr:cNvSpPr>
                      <a:spLocks noChangeAspect="1" noChangeShapeType="1"/>
                    </xdr:cNvSpPr>
                  </xdr:nvSpPr>
                  <xdr:spPr bwMode="auto">
                    <a:xfrm flipH="1">
                      <a:off x="1093691" y="1140208"/>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1" name="AutoShape 197">
                      <a:extLst>
                        <a:ext uri="{FF2B5EF4-FFF2-40B4-BE49-F238E27FC236}">
                          <a16:creationId xmlns="" xmlns:a16="http://schemas.microsoft.com/office/drawing/2014/main" id="{00000000-0008-0000-0400-0000C5040000}"/>
                        </a:ext>
                      </a:extLst>
                    </xdr:cNvPr>
                    <xdr:cNvSpPr>
                      <a:spLocks noChangeAspect="1" noChangeShapeType="1"/>
                    </xdr:cNvSpPr>
                  </xdr:nvSpPr>
                  <xdr:spPr bwMode="auto">
                    <a:xfrm flipH="1">
                      <a:off x="1097196" y="112670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0" name="AutoShape 196">
                      <a:extLst>
                        <a:ext uri="{FF2B5EF4-FFF2-40B4-BE49-F238E27FC236}">
                          <a16:creationId xmlns="" xmlns:a16="http://schemas.microsoft.com/office/drawing/2014/main" id="{00000000-0008-0000-0400-0000C4040000}"/>
                        </a:ext>
                      </a:extLst>
                    </xdr:cNvPr>
                    <xdr:cNvSpPr>
                      <a:spLocks noChangeAspect="1" noChangeShapeType="1"/>
                    </xdr:cNvSpPr>
                  </xdr:nvSpPr>
                  <xdr:spPr bwMode="auto">
                    <a:xfrm flipH="1">
                      <a:off x="1097980" y="112409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9" name="AutoShape 195">
                      <a:extLst>
                        <a:ext uri="{FF2B5EF4-FFF2-40B4-BE49-F238E27FC236}">
                          <a16:creationId xmlns="" xmlns:a16="http://schemas.microsoft.com/office/drawing/2014/main" id="{00000000-0008-0000-0400-0000C3040000}"/>
                        </a:ext>
                      </a:extLst>
                    </xdr:cNvPr>
                    <xdr:cNvSpPr>
                      <a:spLocks noChangeAspect="1" noChangeShapeType="1"/>
                    </xdr:cNvSpPr>
                  </xdr:nvSpPr>
                  <xdr:spPr bwMode="auto">
                    <a:xfrm flipH="1">
                      <a:off x="1098314" y="1122578"/>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8" name="AutoShape 194">
                      <a:extLst>
                        <a:ext uri="{FF2B5EF4-FFF2-40B4-BE49-F238E27FC236}">
                          <a16:creationId xmlns="" xmlns:a16="http://schemas.microsoft.com/office/drawing/2014/main" id="{00000000-0008-0000-0400-0000C2040000}"/>
                        </a:ext>
                      </a:extLst>
                    </xdr:cNvPr>
                    <xdr:cNvSpPr>
                      <a:spLocks noChangeAspect="1" noChangeShapeType="1"/>
                    </xdr:cNvSpPr>
                  </xdr:nvSpPr>
                  <xdr:spPr bwMode="auto">
                    <a:xfrm flipH="1">
                      <a:off x="1098607" y="1120841"/>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7" name="AutoShape 193">
                      <a:extLst>
                        <a:ext uri="{FF2B5EF4-FFF2-40B4-BE49-F238E27FC236}">
                          <a16:creationId xmlns="" xmlns:a16="http://schemas.microsoft.com/office/drawing/2014/main" id="{00000000-0008-0000-0400-0000C1040000}"/>
                        </a:ext>
                      </a:extLst>
                    </xdr:cNvPr>
                    <xdr:cNvSpPr>
                      <a:spLocks noChangeAspect="1" noChangeShapeType="1"/>
                    </xdr:cNvSpPr>
                  </xdr:nvSpPr>
                  <xdr:spPr bwMode="auto">
                    <a:xfrm flipH="1">
                      <a:off x="1103597" y="1109065"/>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6" name="AutoShape 192">
                      <a:extLst>
                        <a:ext uri="{FF2B5EF4-FFF2-40B4-BE49-F238E27FC236}">
                          <a16:creationId xmlns="" xmlns:a16="http://schemas.microsoft.com/office/drawing/2014/main" id="{00000000-0008-0000-0400-0000C0040000}"/>
                        </a:ext>
                      </a:extLst>
                    </xdr:cNvPr>
                    <xdr:cNvSpPr>
                      <a:spLocks noChangeAspect="1" noChangeShapeType="1"/>
                    </xdr:cNvSpPr>
                  </xdr:nvSpPr>
                  <xdr:spPr bwMode="auto">
                    <a:xfrm flipH="1">
                      <a:off x="1111078" y="111125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5" name="AutoShape 191">
                      <a:extLst>
                        <a:ext uri="{FF2B5EF4-FFF2-40B4-BE49-F238E27FC236}">
                          <a16:creationId xmlns="" xmlns:a16="http://schemas.microsoft.com/office/drawing/2014/main" id="{00000000-0008-0000-0400-0000BF040000}"/>
                        </a:ext>
                      </a:extLst>
                    </xdr:cNvPr>
                    <xdr:cNvSpPr>
                      <a:spLocks noChangeAspect="1" noChangeShapeType="1"/>
                    </xdr:cNvSpPr>
                  </xdr:nvSpPr>
                  <xdr:spPr bwMode="auto">
                    <a:xfrm flipH="1">
                      <a:off x="1106220" y="111612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4" name="AutoShape 190">
                      <a:extLst>
                        <a:ext uri="{FF2B5EF4-FFF2-40B4-BE49-F238E27FC236}">
                          <a16:creationId xmlns="" xmlns:a16="http://schemas.microsoft.com/office/drawing/2014/main" id="{00000000-0008-0000-0400-0000BE040000}"/>
                        </a:ext>
                      </a:extLst>
                    </xdr:cNvPr>
                    <xdr:cNvSpPr>
                      <a:spLocks noChangeAspect="1" noChangeShapeType="1"/>
                    </xdr:cNvSpPr>
                  </xdr:nvSpPr>
                  <xdr:spPr bwMode="auto">
                    <a:xfrm flipH="1">
                      <a:off x="1105393" y="1125976"/>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3" name="AutoShape 189">
                      <a:extLst>
                        <a:ext uri="{FF2B5EF4-FFF2-40B4-BE49-F238E27FC236}">
                          <a16:creationId xmlns="" xmlns:a16="http://schemas.microsoft.com/office/drawing/2014/main" id="{00000000-0008-0000-0400-0000BD040000}"/>
                        </a:ext>
                      </a:extLst>
                    </xdr:cNvPr>
                    <xdr:cNvSpPr>
                      <a:spLocks noChangeAspect="1" noChangeShapeType="1"/>
                    </xdr:cNvSpPr>
                  </xdr:nvSpPr>
                  <xdr:spPr bwMode="auto">
                    <a:xfrm flipH="1">
                      <a:off x="1105374" y="1128529"/>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2" name="AutoShape 188">
                      <a:extLst>
                        <a:ext uri="{FF2B5EF4-FFF2-40B4-BE49-F238E27FC236}">
                          <a16:creationId xmlns="" xmlns:a16="http://schemas.microsoft.com/office/drawing/2014/main" id="{00000000-0008-0000-0400-0000BC040000}"/>
                        </a:ext>
                      </a:extLst>
                    </xdr:cNvPr>
                    <xdr:cNvSpPr>
                      <a:spLocks noChangeAspect="1" noChangeShapeType="1"/>
                    </xdr:cNvSpPr>
                  </xdr:nvSpPr>
                  <xdr:spPr bwMode="auto">
                    <a:xfrm flipH="1">
                      <a:off x="1105231" y="1131082"/>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1" name="AutoShape 187">
                      <a:extLst>
                        <a:ext uri="{FF2B5EF4-FFF2-40B4-BE49-F238E27FC236}">
                          <a16:creationId xmlns="" xmlns:a16="http://schemas.microsoft.com/office/drawing/2014/main" id="{00000000-0008-0000-0400-0000BB040000}"/>
                        </a:ext>
                      </a:extLst>
                    </xdr:cNvPr>
                    <xdr:cNvSpPr>
                      <a:spLocks noChangeAspect="1" noChangeShapeType="1"/>
                    </xdr:cNvSpPr>
                  </xdr:nvSpPr>
                  <xdr:spPr bwMode="auto">
                    <a:xfrm flipH="1">
                      <a:off x="1105060" y="113377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0" name="AutoShape 186">
                      <a:extLst>
                        <a:ext uri="{FF2B5EF4-FFF2-40B4-BE49-F238E27FC236}">
                          <a16:creationId xmlns="" xmlns:a16="http://schemas.microsoft.com/office/drawing/2014/main" id="{00000000-0008-0000-0400-0000BA040000}"/>
                        </a:ext>
                      </a:extLst>
                    </xdr:cNvPr>
                    <xdr:cNvSpPr>
                      <a:spLocks noChangeAspect="1" noChangeShapeType="1"/>
                    </xdr:cNvSpPr>
                  </xdr:nvSpPr>
                  <xdr:spPr bwMode="auto">
                    <a:xfrm flipH="1">
                      <a:off x="1102969" y="11395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09" name="AutoShape 185">
                      <a:extLst>
                        <a:ext uri="{FF2B5EF4-FFF2-40B4-BE49-F238E27FC236}">
                          <a16:creationId xmlns="" xmlns:a16="http://schemas.microsoft.com/office/drawing/2014/main" id="{00000000-0008-0000-0400-0000B9040000}"/>
                        </a:ext>
                      </a:extLst>
                    </xdr:cNvPr>
                    <xdr:cNvSpPr>
                      <a:spLocks noChangeAspect="1" noChangeShapeType="1"/>
                    </xdr:cNvSpPr>
                  </xdr:nvSpPr>
                  <xdr:spPr bwMode="auto">
                    <a:xfrm flipH="1">
                      <a:off x="1096739" y="1143242"/>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1207" name="AutoShape 183">
                    <a:extLst>
                      <a:ext uri="{FF2B5EF4-FFF2-40B4-BE49-F238E27FC236}">
                        <a16:creationId xmlns="" xmlns:a16="http://schemas.microsoft.com/office/drawing/2014/main" id="{00000000-0008-0000-0400-0000B7040000}"/>
                      </a:ext>
                    </a:extLst>
                  </xdr:cNvPr>
                  <xdr:cNvSpPr>
                    <a:spLocks noChangeAspect="1" noChangeShapeType="1"/>
                  </xdr:cNvSpPr>
                </xdr:nvSpPr>
                <xdr:spPr bwMode="auto">
                  <a:xfrm flipV="1">
                    <a:off x="1085943" y="1120841"/>
                    <a:ext cx="0" cy="7193"/>
                  </a:xfrm>
                  <a:prstGeom prst="straightConnector1">
                    <a:avLst/>
                  </a:prstGeom>
                  <a:noFill/>
                  <a:ln w="25400">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1205" name="Text Box 181">
                  <a:extLst>
                    <a:ext uri="{FF2B5EF4-FFF2-40B4-BE49-F238E27FC236}">
                      <a16:creationId xmlns="" xmlns:a16="http://schemas.microsoft.com/office/drawing/2014/main" id="{00000000-0008-0000-0400-0000B5040000}"/>
                    </a:ext>
                  </a:extLst>
                </xdr:cNvPr>
                <xdr:cNvSpPr txBox="1">
                  <a:spLocks noChangeAspect="1" noChangeArrowheads="1"/>
                </xdr:cNvSpPr>
              </xdr:nvSpPr>
              <xdr:spPr bwMode="auto">
                <a:xfrm>
                  <a:off x="1073558" y="1172296"/>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xdr:txBody>
            </xdr:sp>
            <xdr:sp macro="" textlink="">
              <xdr:nvSpPr>
                <xdr:cNvPr id="1204" name="Text Box 180">
                  <a:extLst>
                    <a:ext uri="{FF2B5EF4-FFF2-40B4-BE49-F238E27FC236}">
                      <a16:creationId xmlns="" xmlns:a16="http://schemas.microsoft.com/office/drawing/2014/main" id="{00000000-0008-0000-0400-0000B4040000}"/>
                    </a:ext>
                  </a:extLst>
                </xdr:cNvPr>
                <xdr:cNvSpPr txBox="1">
                  <a:spLocks noChangeAspect="1" noChangeArrowheads="1"/>
                </xdr:cNvSpPr>
              </xdr:nvSpPr>
              <xdr:spPr bwMode="auto">
                <a:xfrm>
                  <a:off x="1073870" y="1174333"/>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xdr:txBody>
            </xdr:sp>
            <xdr:sp macro="" textlink="">
              <xdr:nvSpPr>
                <xdr:cNvPr id="1203" name="Text Box 179">
                  <a:extLst>
                    <a:ext uri="{FF2B5EF4-FFF2-40B4-BE49-F238E27FC236}">
                      <a16:creationId xmlns="" xmlns:a16="http://schemas.microsoft.com/office/drawing/2014/main" id="{00000000-0008-0000-0400-0000B3040000}"/>
                    </a:ext>
                  </a:extLst>
                </xdr:cNvPr>
                <xdr:cNvSpPr txBox="1">
                  <a:spLocks noChangeAspect="1" noChangeArrowheads="1"/>
                </xdr:cNvSpPr>
              </xdr:nvSpPr>
              <xdr:spPr bwMode="auto">
                <a:xfrm>
                  <a:off x="1073870" y="1176370"/>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xdr:txBody>
            </xdr:sp>
            <xdr:sp macro="" textlink="">
              <xdr:nvSpPr>
                <xdr:cNvPr id="1202" name="Text Box 178">
                  <a:extLst>
                    <a:ext uri="{FF2B5EF4-FFF2-40B4-BE49-F238E27FC236}">
                      <a16:creationId xmlns="" xmlns:a16="http://schemas.microsoft.com/office/drawing/2014/main" id="{00000000-0008-0000-0400-0000B2040000}"/>
                    </a:ext>
                  </a:extLst>
                </xdr:cNvPr>
                <xdr:cNvSpPr txBox="1">
                  <a:spLocks noChangeAspect="1" noChangeArrowheads="1"/>
                </xdr:cNvSpPr>
              </xdr:nvSpPr>
              <xdr:spPr bwMode="auto">
                <a:xfrm>
                  <a:off x="1073870" y="117840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xdr:txBody>
            </xdr:sp>
            <xdr:sp macro="" textlink="">
              <xdr:nvSpPr>
                <xdr:cNvPr id="1201" name="Text Box 177">
                  <a:extLst>
                    <a:ext uri="{FF2B5EF4-FFF2-40B4-BE49-F238E27FC236}">
                      <a16:creationId xmlns="" xmlns:a16="http://schemas.microsoft.com/office/drawing/2014/main" id="{00000000-0008-0000-0400-0000B1040000}"/>
                    </a:ext>
                  </a:extLst>
                </xdr:cNvPr>
                <xdr:cNvSpPr txBox="1">
                  <a:spLocks noChangeAspect="1" noChangeArrowheads="1"/>
                </xdr:cNvSpPr>
              </xdr:nvSpPr>
              <xdr:spPr bwMode="auto">
                <a:xfrm>
                  <a:off x="1073870" y="118044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xdr:txBody>
            </xdr:sp>
            <xdr:sp macro="" textlink="">
              <xdr:nvSpPr>
                <xdr:cNvPr id="1200" name="Text Box 176">
                  <a:extLst>
                    <a:ext uri="{FF2B5EF4-FFF2-40B4-BE49-F238E27FC236}">
                      <a16:creationId xmlns="" xmlns:a16="http://schemas.microsoft.com/office/drawing/2014/main" id="{00000000-0008-0000-0400-0000B0040000}"/>
                    </a:ext>
                  </a:extLst>
                </xdr:cNvPr>
                <xdr:cNvSpPr txBox="1">
                  <a:spLocks noChangeAspect="1" noChangeArrowheads="1"/>
                </xdr:cNvSpPr>
              </xdr:nvSpPr>
              <xdr:spPr bwMode="auto">
                <a:xfrm>
                  <a:off x="1073870" y="1182480"/>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xdr:txBody>
            </xdr:sp>
            <xdr:sp macro="" textlink="">
              <xdr:nvSpPr>
                <xdr:cNvPr id="1199" name="Text Box 175">
                  <a:extLst>
                    <a:ext uri="{FF2B5EF4-FFF2-40B4-BE49-F238E27FC236}">
                      <a16:creationId xmlns="" xmlns:a16="http://schemas.microsoft.com/office/drawing/2014/main" id="{00000000-0008-0000-0400-0000AF040000}"/>
                    </a:ext>
                  </a:extLst>
                </xdr:cNvPr>
                <xdr:cNvSpPr txBox="1">
                  <a:spLocks noChangeAspect="1" noChangeArrowheads="1"/>
                </xdr:cNvSpPr>
              </xdr:nvSpPr>
              <xdr:spPr bwMode="auto">
                <a:xfrm>
                  <a:off x="1073870" y="118451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xdr:txBody>
            </xdr:sp>
            <xdr:sp macro="" textlink="">
              <xdr:nvSpPr>
                <xdr:cNvPr id="1198" name="Text Box 174">
                  <a:extLst>
                    <a:ext uri="{FF2B5EF4-FFF2-40B4-BE49-F238E27FC236}">
                      <a16:creationId xmlns="" xmlns:a16="http://schemas.microsoft.com/office/drawing/2014/main" id="{00000000-0008-0000-0400-0000AE040000}"/>
                    </a:ext>
                  </a:extLst>
                </xdr:cNvPr>
                <xdr:cNvSpPr txBox="1">
                  <a:spLocks noChangeAspect="1" noChangeArrowheads="1"/>
                </xdr:cNvSpPr>
              </xdr:nvSpPr>
              <xdr:spPr bwMode="auto">
                <a:xfrm>
                  <a:off x="1073870" y="118655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xdr:txBody>
            </xdr:sp>
            <xdr:sp macro="" textlink="">
              <xdr:nvSpPr>
                <xdr:cNvPr id="1197" name="Text Box 173">
                  <a:extLst>
                    <a:ext uri="{FF2B5EF4-FFF2-40B4-BE49-F238E27FC236}">
                      <a16:creationId xmlns="" xmlns:a16="http://schemas.microsoft.com/office/drawing/2014/main" id="{00000000-0008-0000-0400-0000AD040000}"/>
                    </a:ext>
                  </a:extLst>
                </xdr:cNvPr>
                <xdr:cNvSpPr txBox="1">
                  <a:spLocks noChangeAspect="1" noChangeArrowheads="1"/>
                </xdr:cNvSpPr>
              </xdr:nvSpPr>
              <xdr:spPr bwMode="auto">
                <a:xfrm>
                  <a:off x="1073870" y="1188591"/>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xdr:txBody>
            </xdr:sp>
            <xdr:sp macro="" textlink="">
              <xdr:nvSpPr>
                <xdr:cNvPr id="1196" name="Text Box 172">
                  <a:extLst>
                    <a:ext uri="{FF2B5EF4-FFF2-40B4-BE49-F238E27FC236}">
                      <a16:creationId xmlns="" xmlns:a16="http://schemas.microsoft.com/office/drawing/2014/main" id="{00000000-0008-0000-0400-0000AC040000}"/>
                    </a:ext>
                  </a:extLst>
                </xdr:cNvPr>
                <xdr:cNvSpPr txBox="1">
                  <a:spLocks noChangeAspect="1" noChangeArrowheads="1"/>
                </xdr:cNvSpPr>
              </xdr:nvSpPr>
              <xdr:spPr bwMode="auto">
                <a:xfrm>
                  <a:off x="1073870" y="1190627"/>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xdr:txBody>
            </xdr:sp>
            <xdr:sp macro="" textlink="">
              <xdr:nvSpPr>
                <xdr:cNvPr id="1195" name="Text Box 171">
                  <a:extLst>
                    <a:ext uri="{FF2B5EF4-FFF2-40B4-BE49-F238E27FC236}">
                      <a16:creationId xmlns="" xmlns:a16="http://schemas.microsoft.com/office/drawing/2014/main" id="{00000000-0008-0000-0400-0000AB040000}"/>
                    </a:ext>
                  </a:extLst>
                </xdr:cNvPr>
                <xdr:cNvSpPr txBox="1">
                  <a:spLocks noChangeAspect="1" noChangeArrowheads="1"/>
                </xdr:cNvSpPr>
              </xdr:nvSpPr>
              <xdr:spPr bwMode="auto">
                <a:xfrm>
                  <a:off x="1073870" y="1192664"/>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xdr:txBody>
            </xdr:sp>
            <xdr:sp macro="" textlink="">
              <xdr:nvSpPr>
                <xdr:cNvPr id="1194" name="Text Box 170">
                  <a:extLst>
                    <a:ext uri="{FF2B5EF4-FFF2-40B4-BE49-F238E27FC236}">
                      <a16:creationId xmlns="" xmlns:a16="http://schemas.microsoft.com/office/drawing/2014/main" id="{00000000-0008-0000-0400-0000AA040000}"/>
                    </a:ext>
                  </a:extLst>
                </xdr:cNvPr>
                <xdr:cNvSpPr txBox="1">
                  <a:spLocks noChangeAspect="1" noChangeArrowheads="1"/>
                </xdr:cNvSpPr>
              </xdr:nvSpPr>
              <xdr:spPr bwMode="auto">
                <a:xfrm>
                  <a:off x="1073558" y="1152056"/>
                  <a:ext cx="2545" cy="1668"/>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xdr:txBody>
            </xdr:sp>
            <xdr:sp macro="" textlink="">
              <xdr:nvSpPr>
                <xdr:cNvPr id="1193" name="Text Box 169">
                  <a:extLst>
                    <a:ext uri="{FF2B5EF4-FFF2-40B4-BE49-F238E27FC236}">
                      <a16:creationId xmlns="" xmlns:a16="http://schemas.microsoft.com/office/drawing/2014/main" id="{00000000-0008-0000-0400-0000A9040000}"/>
                    </a:ext>
                  </a:extLst>
                </xdr:cNvPr>
                <xdr:cNvSpPr txBox="1">
                  <a:spLocks noChangeAspect="1" noChangeArrowheads="1"/>
                </xdr:cNvSpPr>
              </xdr:nvSpPr>
              <xdr:spPr bwMode="auto">
                <a:xfrm>
                  <a:off x="1073558" y="1153965"/>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xdr:txBody>
            </xdr:sp>
            <xdr:sp macro="" textlink="">
              <xdr:nvSpPr>
                <xdr:cNvPr id="1192" name="Text Box 168">
                  <a:extLst>
                    <a:ext uri="{FF2B5EF4-FFF2-40B4-BE49-F238E27FC236}">
                      <a16:creationId xmlns="" xmlns:a16="http://schemas.microsoft.com/office/drawing/2014/main" id="{00000000-0008-0000-0400-0000A8040000}"/>
                    </a:ext>
                  </a:extLst>
                </xdr:cNvPr>
                <xdr:cNvSpPr txBox="1">
                  <a:spLocks noChangeAspect="1" noChangeArrowheads="1"/>
                </xdr:cNvSpPr>
              </xdr:nvSpPr>
              <xdr:spPr bwMode="auto">
                <a:xfrm>
                  <a:off x="1073558" y="1156002"/>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xdr:txBody>
            </xdr:sp>
            <xdr:sp macro="" textlink="">
              <xdr:nvSpPr>
                <xdr:cNvPr id="1191" name="Text Box 167">
                  <a:extLst>
                    <a:ext uri="{FF2B5EF4-FFF2-40B4-BE49-F238E27FC236}">
                      <a16:creationId xmlns="" xmlns:a16="http://schemas.microsoft.com/office/drawing/2014/main" id="{00000000-0008-0000-0400-0000A7040000}"/>
                    </a:ext>
                  </a:extLst>
                </xdr:cNvPr>
                <xdr:cNvSpPr txBox="1">
                  <a:spLocks noChangeAspect="1" noChangeArrowheads="1"/>
                </xdr:cNvSpPr>
              </xdr:nvSpPr>
              <xdr:spPr bwMode="auto">
                <a:xfrm>
                  <a:off x="1073558" y="1158039"/>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xdr:txBody>
            </xdr:sp>
            <xdr:sp macro="" textlink="">
              <xdr:nvSpPr>
                <xdr:cNvPr id="1190" name="Text Box 166">
                  <a:extLst>
                    <a:ext uri="{FF2B5EF4-FFF2-40B4-BE49-F238E27FC236}">
                      <a16:creationId xmlns="" xmlns:a16="http://schemas.microsoft.com/office/drawing/2014/main" id="{00000000-0008-0000-0400-0000A6040000}"/>
                    </a:ext>
                  </a:extLst>
                </xdr:cNvPr>
                <xdr:cNvSpPr txBox="1">
                  <a:spLocks noChangeAspect="1" noChangeArrowheads="1"/>
                </xdr:cNvSpPr>
              </xdr:nvSpPr>
              <xdr:spPr bwMode="auto">
                <a:xfrm>
                  <a:off x="1073558" y="116007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xdr:txBody>
            </xdr:sp>
            <xdr:sp macro="" textlink="">
              <xdr:nvSpPr>
                <xdr:cNvPr id="1189" name="Text Box 165">
                  <a:extLst>
                    <a:ext uri="{FF2B5EF4-FFF2-40B4-BE49-F238E27FC236}">
                      <a16:creationId xmlns="" xmlns:a16="http://schemas.microsoft.com/office/drawing/2014/main" id="{00000000-0008-0000-0400-0000A5040000}"/>
                    </a:ext>
                  </a:extLst>
                </xdr:cNvPr>
                <xdr:cNvSpPr txBox="1">
                  <a:spLocks noChangeAspect="1" noChangeArrowheads="1"/>
                </xdr:cNvSpPr>
              </xdr:nvSpPr>
              <xdr:spPr bwMode="auto">
                <a:xfrm>
                  <a:off x="1073558" y="1162112"/>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xdr:txBody>
            </xdr:sp>
            <xdr:sp macro="" textlink="">
              <xdr:nvSpPr>
                <xdr:cNvPr id="1188" name="Text Box 164">
                  <a:extLst>
                    <a:ext uri="{FF2B5EF4-FFF2-40B4-BE49-F238E27FC236}">
                      <a16:creationId xmlns="" xmlns:a16="http://schemas.microsoft.com/office/drawing/2014/main" id="{00000000-0008-0000-0400-0000A4040000}"/>
                    </a:ext>
                  </a:extLst>
                </xdr:cNvPr>
                <xdr:cNvSpPr txBox="1">
                  <a:spLocks noChangeAspect="1" noChangeArrowheads="1"/>
                </xdr:cNvSpPr>
              </xdr:nvSpPr>
              <xdr:spPr bwMode="auto">
                <a:xfrm>
                  <a:off x="1073558" y="1164149"/>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xdr:txBody>
            </xdr:sp>
            <xdr:sp macro="" textlink="">
              <xdr:nvSpPr>
                <xdr:cNvPr id="1187" name="Text Box 163">
                  <a:extLst>
                    <a:ext uri="{FF2B5EF4-FFF2-40B4-BE49-F238E27FC236}">
                      <a16:creationId xmlns="" xmlns:a16="http://schemas.microsoft.com/office/drawing/2014/main" id="{00000000-0008-0000-0400-0000A3040000}"/>
                    </a:ext>
                  </a:extLst>
                </xdr:cNvPr>
                <xdr:cNvSpPr txBox="1">
                  <a:spLocks noChangeAspect="1" noChangeArrowheads="1"/>
                </xdr:cNvSpPr>
              </xdr:nvSpPr>
              <xdr:spPr bwMode="auto">
                <a:xfrm>
                  <a:off x="1073558" y="116618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xdr:txBody>
            </xdr:sp>
            <xdr:sp macro="" textlink="">
              <xdr:nvSpPr>
                <xdr:cNvPr id="1186" name="Text Box 162">
                  <a:extLst>
                    <a:ext uri="{FF2B5EF4-FFF2-40B4-BE49-F238E27FC236}">
                      <a16:creationId xmlns="" xmlns:a16="http://schemas.microsoft.com/office/drawing/2014/main" id="{00000000-0008-0000-0400-0000A2040000}"/>
                    </a:ext>
                  </a:extLst>
                </xdr:cNvPr>
                <xdr:cNvSpPr txBox="1">
                  <a:spLocks noChangeAspect="1" noChangeArrowheads="1"/>
                </xdr:cNvSpPr>
              </xdr:nvSpPr>
              <xdr:spPr bwMode="auto">
                <a:xfrm>
                  <a:off x="1073558" y="1168223"/>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xdr:txBody>
            </xdr:sp>
            <xdr:sp macro="" textlink="">
              <xdr:nvSpPr>
                <xdr:cNvPr id="1185" name="Text Box 161">
                  <a:extLst>
                    <a:ext uri="{FF2B5EF4-FFF2-40B4-BE49-F238E27FC236}">
                      <a16:creationId xmlns="" xmlns:a16="http://schemas.microsoft.com/office/drawing/2014/main" id="{00000000-0008-0000-0400-0000A1040000}"/>
                    </a:ext>
                  </a:extLst>
                </xdr:cNvPr>
                <xdr:cNvSpPr txBox="1">
                  <a:spLocks noChangeAspect="1" noChangeArrowheads="1"/>
                </xdr:cNvSpPr>
              </xdr:nvSpPr>
              <xdr:spPr bwMode="auto">
                <a:xfrm>
                  <a:off x="1073558" y="1170260"/>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xdr:txBody>
            </xdr:sp>
          </xdr:grpSp>
          <xdr:sp macro="" textlink="">
            <xdr:nvSpPr>
              <xdr:cNvPr id="1183" name="Text Box 159">
                <a:extLst>
                  <a:ext uri="{FF2B5EF4-FFF2-40B4-BE49-F238E27FC236}">
                    <a16:creationId xmlns="" xmlns:a16="http://schemas.microsoft.com/office/drawing/2014/main" id="{00000000-0008-0000-0400-00009F040000}"/>
                  </a:ext>
                </a:extLst>
              </xdr:cNvPr>
              <xdr:cNvSpPr txBox="1">
                <a:spLocks noChangeAspect="1" noChangeArrowheads="1"/>
              </xdr:cNvSpPr>
            </xdr:nvSpPr>
            <xdr:spPr bwMode="auto">
              <a:xfrm>
                <a:off x="1156760" y="1153246"/>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xdr:txBody>
          </xdr:sp>
          <xdr:sp macro="" textlink="">
            <xdr:nvSpPr>
              <xdr:cNvPr id="1182" name="Text Box 158">
                <a:extLst>
                  <a:ext uri="{FF2B5EF4-FFF2-40B4-BE49-F238E27FC236}">
                    <a16:creationId xmlns="" xmlns:a16="http://schemas.microsoft.com/office/drawing/2014/main" id="{00000000-0008-0000-0400-00009E040000}"/>
                  </a:ext>
                </a:extLst>
              </xdr:cNvPr>
              <xdr:cNvSpPr txBox="1">
                <a:spLocks noChangeAspect="1" noChangeArrowheads="1"/>
              </xdr:cNvSpPr>
            </xdr:nvSpPr>
            <xdr:spPr bwMode="auto">
              <a:xfrm>
                <a:off x="1159855" y="115875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xdr:txBody>
          </xdr:sp>
          <xdr:sp macro="" textlink="">
            <xdr:nvSpPr>
              <xdr:cNvPr id="1181" name="Text Box 157">
                <a:extLst>
                  <a:ext uri="{FF2B5EF4-FFF2-40B4-BE49-F238E27FC236}">
                    <a16:creationId xmlns="" xmlns:a16="http://schemas.microsoft.com/office/drawing/2014/main" id="{00000000-0008-0000-0400-00009D040000}"/>
                  </a:ext>
                </a:extLst>
              </xdr:cNvPr>
              <xdr:cNvSpPr txBox="1">
                <a:spLocks noChangeAspect="1" noChangeArrowheads="1"/>
              </xdr:cNvSpPr>
            </xdr:nvSpPr>
            <xdr:spPr bwMode="auto">
              <a:xfrm>
                <a:off x="1156284" y="1158967"/>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xdr:txBody>
          </xdr:sp>
          <xdr:sp macro="" textlink="">
            <xdr:nvSpPr>
              <xdr:cNvPr id="1180" name="Text Box 156">
                <a:extLst>
                  <a:ext uri="{FF2B5EF4-FFF2-40B4-BE49-F238E27FC236}">
                    <a16:creationId xmlns="" xmlns:a16="http://schemas.microsoft.com/office/drawing/2014/main" id="{00000000-0008-0000-0400-00009C040000}"/>
                  </a:ext>
                </a:extLst>
              </xdr:cNvPr>
              <xdr:cNvSpPr txBox="1">
                <a:spLocks noChangeAspect="1" noChangeArrowheads="1"/>
              </xdr:cNvSpPr>
            </xdr:nvSpPr>
            <xdr:spPr bwMode="auto">
              <a:xfrm>
                <a:off x="1155463" y="1160880"/>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xdr:txBody>
          </xdr:sp>
          <xdr:sp macro="" textlink="">
            <xdr:nvSpPr>
              <xdr:cNvPr id="1179" name="Text Box 155">
                <a:extLst>
                  <a:ext uri="{FF2B5EF4-FFF2-40B4-BE49-F238E27FC236}">
                    <a16:creationId xmlns="" xmlns:a16="http://schemas.microsoft.com/office/drawing/2014/main" id="{00000000-0008-0000-0400-00009B040000}"/>
                  </a:ext>
                </a:extLst>
              </xdr:cNvPr>
              <xdr:cNvSpPr txBox="1">
                <a:spLocks noChangeAspect="1" noChangeArrowheads="1"/>
              </xdr:cNvSpPr>
            </xdr:nvSpPr>
            <xdr:spPr bwMode="auto">
              <a:xfrm>
                <a:off x="1157089" y="116237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xdr:txBody>
          </xdr:sp>
          <xdr:sp macro="" textlink="">
            <xdr:nvSpPr>
              <xdr:cNvPr id="1178" name="Text Box 154">
                <a:extLst>
                  <a:ext uri="{FF2B5EF4-FFF2-40B4-BE49-F238E27FC236}">
                    <a16:creationId xmlns="" xmlns:a16="http://schemas.microsoft.com/office/drawing/2014/main" id="{00000000-0008-0000-0400-00009A040000}"/>
                  </a:ext>
                </a:extLst>
              </xdr:cNvPr>
              <xdr:cNvSpPr txBox="1">
                <a:spLocks noChangeAspect="1" noChangeArrowheads="1"/>
              </xdr:cNvSpPr>
            </xdr:nvSpPr>
            <xdr:spPr bwMode="auto">
              <a:xfrm>
                <a:off x="1146251" y="11620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xdr:txBody>
          </xdr:sp>
          <xdr:sp macro="" textlink="">
            <xdr:nvSpPr>
              <xdr:cNvPr id="1177" name="Text Box 153">
                <a:extLst>
                  <a:ext uri="{FF2B5EF4-FFF2-40B4-BE49-F238E27FC236}">
                    <a16:creationId xmlns="" xmlns:a16="http://schemas.microsoft.com/office/drawing/2014/main" id="{00000000-0008-0000-0400-000099040000}"/>
                  </a:ext>
                </a:extLst>
              </xdr:cNvPr>
              <xdr:cNvSpPr txBox="1">
                <a:spLocks noChangeAspect="1" noChangeArrowheads="1"/>
              </xdr:cNvSpPr>
            </xdr:nvSpPr>
            <xdr:spPr bwMode="auto">
              <a:xfrm>
                <a:off x="1156986" y="116420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xdr:txBody>
          </xdr:sp>
          <xdr:sp macro="" textlink="">
            <xdr:nvSpPr>
              <xdr:cNvPr id="1176" name="Text Box 152">
                <a:extLst>
                  <a:ext uri="{FF2B5EF4-FFF2-40B4-BE49-F238E27FC236}">
                    <a16:creationId xmlns="" xmlns:a16="http://schemas.microsoft.com/office/drawing/2014/main" id="{00000000-0008-0000-0400-000098040000}"/>
                  </a:ext>
                </a:extLst>
              </xdr:cNvPr>
              <xdr:cNvSpPr txBox="1">
                <a:spLocks noChangeAspect="1" noChangeArrowheads="1"/>
              </xdr:cNvSpPr>
            </xdr:nvSpPr>
            <xdr:spPr bwMode="auto">
              <a:xfrm>
                <a:off x="1157266" y="118090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xdr:txBody>
          </xdr:sp>
          <xdr:sp macro="" textlink="">
            <xdr:nvSpPr>
              <xdr:cNvPr id="1175" name="Text Box 151">
                <a:extLst>
                  <a:ext uri="{FF2B5EF4-FFF2-40B4-BE49-F238E27FC236}">
                    <a16:creationId xmlns="" xmlns:a16="http://schemas.microsoft.com/office/drawing/2014/main" id="{00000000-0008-0000-0400-000097040000}"/>
                  </a:ext>
                </a:extLst>
              </xdr:cNvPr>
              <xdr:cNvSpPr txBox="1">
                <a:spLocks noChangeAspect="1" noChangeArrowheads="1"/>
              </xdr:cNvSpPr>
            </xdr:nvSpPr>
            <xdr:spPr bwMode="auto">
              <a:xfrm>
                <a:off x="1157968" y="1187287"/>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xdr:txBody>
          </xdr:sp>
          <xdr:sp macro="" textlink="">
            <xdr:nvSpPr>
              <xdr:cNvPr id="1174" name="Text Box 150">
                <a:extLst>
                  <a:ext uri="{FF2B5EF4-FFF2-40B4-BE49-F238E27FC236}">
                    <a16:creationId xmlns="" xmlns:a16="http://schemas.microsoft.com/office/drawing/2014/main" id="{00000000-0008-0000-0400-000096040000}"/>
                  </a:ext>
                </a:extLst>
              </xdr:cNvPr>
              <xdr:cNvSpPr txBox="1">
                <a:spLocks noChangeAspect="1" noChangeArrowheads="1"/>
              </xdr:cNvSpPr>
            </xdr:nvSpPr>
            <xdr:spPr bwMode="auto">
              <a:xfrm>
                <a:off x="1153011"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xdr:txBody>
          </xdr:sp>
          <xdr:sp macro="" textlink="">
            <xdr:nvSpPr>
              <xdr:cNvPr id="1173" name="Text Box 149">
                <a:extLst>
                  <a:ext uri="{FF2B5EF4-FFF2-40B4-BE49-F238E27FC236}">
                    <a16:creationId xmlns="" xmlns:a16="http://schemas.microsoft.com/office/drawing/2014/main" id="{00000000-0008-0000-0400-000095040000}"/>
                  </a:ext>
                </a:extLst>
              </xdr:cNvPr>
              <xdr:cNvSpPr txBox="1">
                <a:spLocks noChangeAspect="1" noChangeArrowheads="1"/>
              </xdr:cNvSpPr>
            </xdr:nvSpPr>
            <xdr:spPr bwMode="auto">
              <a:xfrm>
                <a:off x="1158487" y="1174075"/>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xdr:txBody>
          </xdr:sp>
          <xdr:sp macro="" textlink="">
            <xdr:nvSpPr>
              <xdr:cNvPr id="1172" name="Text Box 148">
                <a:extLst>
                  <a:ext uri="{FF2B5EF4-FFF2-40B4-BE49-F238E27FC236}">
                    <a16:creationId xmlns="" xmlns:a16="http://schemas.microsoft.com/office/drawing/2014/main" id="{00000000-0008-0000-0400-000094040000}"/>
                  </a:ext>
                </a:extLst>
              </xdr:cNvPr>
              <xdr:cNvSpPr txBox="1">
                <a:spLocks noChangeAspect="1" noChangeArrowheads="1"/>
              </xdr:cNvSpPr>
            </xdr:nvSpPr>
            <xdr:spPr bwMode="auto">
              <a:xfrm>
                <a:off x="1159323" y="1171313"/>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xdr:txBody>
          </xdr:sp>
          <xdr:sp macro="" textlink="">
            <xdr:nvSpPr>
              <xdr:cNvPr id="1171" name="Text Box 147">
                <a:extLst>
                  <a:ext uri="{FF2B5EF4-FFF2-40B4-BE49-F238E27FC236}">
                    <a16:creationId xmlns="" xmlns:a16="http://schemas.microsoft.com/office/drawing/2014/main" id="{00000000-0008-0000-0400-000093040000}"/>
                  </a:ext>
                </a:extLst>
              </xdr:cNvPr>
              <xdr:cNvSpPr txBox="1">
                <a:spLocks noChangeAspect="1" noChangeArrowheads="1"/>
              </xdr:cNvSpPr>
            </xdr:nvSpPr>
            <xdr:spPr bwMode="auto">
              <a:xfrm>
                <a:off x="1159679" y="116979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xdr:txBody>
          </xdr:sp>
          <xdr:sp macro="" textlink="">
            <xdr:nvSpPr>
              <xdr:cNvPr id="1170" name="Text Box 146">
                <a:extLst>
                  <a:ext uri="{FF2B5EF4-FFF2-40B4-BE49-F238E27FC236}">
                    <a16:creationId xmlns="" xmlns:a16="http://schemas.microsoft.com/office/drawing/2014/main" id="{00000000-0008-0000-0400-000092040000}"/>
                  </a:ext>
                </a:extLst>
              </xdr:cNvPr>
              <xdr:cNvSpPr txBox="1">
                <a:spLocks noChangeAspect="1" noChangeArrowheads="1"/>
              </xdr:cNvSpPr>
            </xdr:nvSpPr>
            <xdr:spPr bwMode="auto">
              <a:xfrm>
                <a:off x="1159931" y="1168098"/>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xdr:txBody>
          </xdr:sp>
          <xdr:sp macro="" textlink="">
            <xdr:nvSpPr>
              <xdr:cNvPr id="1169" name="Text Box 145">
                <a:extLst>
                  <a:ext uri="{FF2B5EF4-FFF2-40B4-BE49-F238E27FC236}">
                    <a16:creationId xmlns="" xmlns:a16="http://schemas.microsoft.com/office/drawing/2014/main" id="{00000000-0008-0000-0400-000091040000}"/>
                  </a:ext>
                </a:extLst>
              </xdr:cNvPr>
              <xdr:cNvSpPr txBox="1">
                <a:spLocks noChangeAspect="1" noChangeArrowheads="1"/>
              </xdr:cNvSpPr>
            </xdr:nvSpPr>
            <xdr:spPr bwMode="auto">
              <a:xfrm>
                <a:off x="1164669" y="11566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xdr:txBody>
          </xdr:sp>
          <xdr:sp macro="" textlink="">
            <xdr:nvSpPr>
              <xdr:cNvPr id="1168" name="Text Box 144">
                <a:extLst>
                  <a:ext uri="{FF2B5EF4-FFF2-40B4-BE49-F238E27FC236}">
                    <a16:creationId xmlns="" xmlns:a16="http://schemas.microsoft.com/office/drawing/2014/main" id="{00000000-0008-0000-0400-000090040000}"/>
                  </a:ext>
                </a:extLst>
              </xdr:cNvPr>
              <xdr:cNvSpPr txBox="1">
                <a:spLocks noChangeAspect="1" noChangeArrowheads="1"/>
              </xdr:cNvSpPr>
            </xdr:nvSpPr>
            <xdr:spPr bwMode="auto">
              <a:xfrm>
                <a:off x="1172365" y="1158571"/>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xdr:txBody>
          </xdr:sp>
          <xdr:sp macro="" textlink="">
            <xdr:nvSpPr>
              <xdr:cNvPr id="1167" name="Text Box 143">
                <a:extLst>
                  <a:ext uri="{FF2B5EF4-FFF2-40B4-BE49-F238E27FC236}">
                    <a16:creationId xmlns="" xmlns:a16="http://schemas.microsoft.com/office/drawing/2014/main" id="{00000000-0008-0000-0400-00008F040000}"/>
                  </a:ext>
                </a:extLst>
              </xdr:cNvPr>
              <xdr:cNvSpPr txBox="1">
                <a:spLocks noChangeAspect="1" noChangeArrowheads="1"/>
              </xdr:cNvSpPr>
            </xdr:nvSpPr>
            <xdr:spPr bwMode="auto">
              <a:xfrm>
                <a:off x="1167708" y="1163559"/>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xdr:txBody>
          </xdr:sp>
          <xdr:sp macro="" textlink="">
            <xdr:nvSpPr>
              <xdr:cNvPr id="1166" name="Text Box 142">
                <a:extLst>
                  <a:ext uri="{FF2B5EF4-FFF2-40B4-BE49-F238E27FC236}">
                    <a16:creationId xmlns="" xmlns:a16="http://schemas.microsoft.com/office/drawing/2014/main" id="{00000000-0008-0000-0400-00008E040000}"/>
                  </a:ext>
                </a:extLst>
              </xdr:cNvPr>
              <xdr:cNvSpPr txBox="1">
                <a:spLocks noChangeAspect="1" noChangeArrowheads="1"/>
              </xdr:cNvSpPr>
            </xdr:nvSpPr>
            <xdr:spPr bwMode="auto">
              <a:xfrm>
                <a:off x="1166727" y="1173069"/>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xdr:txBody>
          </xdr:sp>
          <xdr:sp macro="" textlink="">
            <xdr:nvSpPr>
              <xdr:cNvPr id="1165" name="Text Box 141">
                <a:extLst>
                  <a:ext uri="{FF2B5EF4-FFF2-40B4-BE49-F238E27FC236}">
                    <a16:creationId xmlns="" xmlns:a16="http://schemas.microsoft.com/office/drawing/2014/main" id="{00000000-0008-0000-0400-00008D040000}"/>
                  </a:ext>
                </a:extLst>
              </xdr:cNvPr>
              <xdr:cNvSpPr txBox="1">
                <a:spLocks noChangeAspect="1" noChangeArrowheads="1"/>
              </xdr:cNvSpPr>
            </xdr:nvSpPr>
            <xdr:spPr bwMode="auto">
              <a:xfrm>
                <a:off x="1166923" y="117540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xdr:txBody>
          </xdr:sp>
          <xdr:sp macro="" textlink="">
            <xdr:nvSpPr>
              <xdr:cNvPr id="1164" name="Text Box 140">
                <a:extLst>
                  <a:ext uri="{FF2B5EF4-FFF2-40B4-BE49-F238E27FC236}">
                    <a16:creationId xmlns="" xmlns:a16="http://schemas.microsoft.com/office/drawing/2014/main" id="{00000000-0008-0000-0400-00008C040000}"/>
                  </a:ext>
                </a:extLst>
              </xdr:cNvPr>
              <xdr:cNvSpPr txBox="1">
                <a:spLocks noChangeAspect="1" noChangeArrowheads="1"/>
              </xdr:cNvSpPr>
            </xdr:nvSpPr>
            <xdr:spPr bwMode="auto">
              <a:xfrm>
                <a:off x="1166727" y="1178009"/>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xdr:txBody>
          </xdr:sp>
          <xdr:sp macro="" textlink="">
            <xdr:nvSpPr>
              <xdr:cNvPr id="1163" name="Text Box 139">
                <a:extLst>
                  <a:ext uri="{FF2B5EF4-FFF2-40B4-BE49-F238E27FC236}">
                    <a16:creationId xmlns="" xmlns:a16="http://schemas.microsoft.com/office/drawing/2014/main" id="{00000000-0008-0000-0400-00008B040000}"/>
                  </a:ext>
                </a:extLst>
              </xdr:cNvPr>
              <xdr:cNvSpPr txBox="1">
                <a:spLocks noChangeAspect="1" noChangeArrowheads="1"/>
              </xdr:cNvSpPr>
            </xdr:nvSpPr>
            <xdr:spPr bwMode="auto">
              <a:xfrm>
                <a:off x="1166394" y="118052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xdr:txBody>
          </xdr:sp>
          <xdr:sp macro="" textlink="">
            <xdr:nvSpPr>
              <xdr:cNvPr id="1162" name="Text Box 138">
                <a:extLst>
                  <a:ext uri="{FF2B5EF4-FFF2-40B4-BE49-F238E27FC236}">
                    <a16:creationId xmlns="" xmlns:a16="http://schemas.microsoft.com/office/drawing/2014/main" id="{00000000-0008-0000-0400-00008A040000}"/>
                  </a:ext>
                </a:extLst>
              </xdr:cNvPr>
              <xdr:cNvSpPr txBox="1">
                <a:spLocks noChangeAspect="1" noChangeArrowheads="1"/>
              </xdr:cNvSpPr>
            </xdr:nvSpPr>
            <xdr:spPr bwMode="auto">
              <a:xfrm>
                <a:off x="1166394" y="1181333"/>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xdr:txBody>
          </xdr:sp>
          <xdr:sp macro="" textlink="">
            <xdr:nvSpPr>
              <xdr:cNvPr id="1161" name="Text Box 137">
                <a:extLst>
                  <a:ext uri="{FF2B5EF4-FFF2-40B4-BE49-F238E27FC236}">
                    <a16:creationId xmlns="" xmlns:a16="http://schemas.microsoft.com/office/drawing/2014/main" id="{00000000-0008-0000-0400-000089040000}"/>
                  </a:ext>
                </a:extLst>
              </xdr:cNvPr>
              <xdr:cNvSpPr txBox="1">
                <a:spLocks noChangeAspect="1" noChangeArrowheads="1"/>
              </xdr:cNvSpPr>
            </xdr:nvSpPr>
            <xdr:spPr bwMode="auto">
              <a:xfrm>
                <a:off x="1164125"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xdr:txBody>
          </xdr:sp>
          <xdr:sp macro="" textlink="">
            <xdr:nvSpPr>
              <xdr:cNvPr id="1160" name="Text Box 136">
                <a:extLst>
                  <a:ext uri="{FF2B5EF4-FFF2-40B4-BE49-F238E27FC236}">
                    <a16:creationId xmlns="" xmlns:a16="http://schemas.microsoft.com/office/drawing/2014/main" id="{00000000-0008-0000-0400-000088040000}"/>
                  </a:ext>
                </a:extLst>
              </xdr:cNvPr>
              <xdr:cNvSpPr txBox="1">
                <a:spLocks noChangeAspect="1" noChangeArrowheads="1"/>
              </xdr:cNvSpPr>
            </xdr:nvSpPr>
            <xdr:spPr bwMode="auto">
              <a:xfrm>
                <a:off x="1157217" y="1191026"/>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xdr:txBody>
          </xdr:sp>
          <xdr:sp macro="" textlink="">
            <xdr:nvSpPr>
              <xdr:cNvPr id="1159" name="Text Box 135">
                <a:extLst>
                  <a:ext uri="{FF2B5EF4-FFF2-40B4-BE49-F238E27FC236}">
                    <a16:creationId xmlns="" xmlns:a16="http://schemas.microsoft.com/office/drawing/2014/main" id="{00000000-0008-0000-0400-000087040000}"/>
                  </a:ext>
                </a:extLst>
              </xdr:cNvPr>
              <xdr:cNvSpPr txBox="1">
                <a:spLocks noChangeAspect="1" noChangeArrowheads="1"/>
              </xdr:cNvSpPr>
            </xdr:nvSpPr>
            <xdr:spPr bwMode="auto">
              <a:xfrm>
                <a:off x="1147233" y="117612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xdr:txBody>
          </xdr:sp>
          <xdr:sp macro="" textlink="">
            <xdr:nvSpPr>
              <xdr:cNvPr id="1158" name="Text Box 134">
                <a:extLst>
                  <a:ext uri="{FF2B5EF4-FFF2-40B4-BE49-F238E27FC236}">
                    <a16:creationId xmlns="" xmlns:a16="http://schemas.microsoft.com/office/drawing/2014/main" id="{00000000-0008-0000-0400-000086040000}"/>
                  </a:ext>
                </a:extLst>
              </xdr:cNvPr>
              <xdr:cNvSpPr txBox="1">
                <a:spLocks noChangeAspect="1" noChangeArrowheads="1"/>
              </xdr:cNvSpPr>
            </xdr:nvSpPr>
            <xdr:spPr bwMode="auto">
              <a:xfrm>
                <a:off x="1147167" y="1175234"/>
                <a:ext cx="2636" cy="1583"/>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xdr:txBody>
          </xdr:sp>
        </xdr:grpSp>
        <xdr:grpSp>
          <xdr:nvGrpSpPr>
            <xdr:cNvPr id="1148" name="Group 124">
              <a:extLst>
                <a:ext uri="{FF2B5EF4-FFF2-40B4-BE49-F238E27FC236}">
                  <a16:creationId xmlns="" xmlns:a16="http://schemas.microsoft.com/office/drawing/2014/main" id="{00000000-0008-0000-0400-00007C040000}"/>
                </a:ext>
              </a:extLst>
            </xdr:cNvPr>
            <xdr:cNvGrpSpPr>
              <a:grpSpLocks/>
            </xdr:cNvGrpSpPr>
          </xdr:nvGrpSpPr>
          <xdr:grpSpPr bwMode="auto">
            <a:xfrm>
              <a:off x="1247341" y="1194700"/>
              <a:ext cx="21654" cy="6839"/>
              <a:chOff x="1211664" y="1184517"/>
              <a:chExt cx="21653" cy="6839"/>
            </a:xfrm>
          </xdr:grpSpPr>
          <xdr:sp macro="" textlink="">
            <xdr:nvSpPr>
              <xdr:cNvPr id="1156" name="Rectangle 132">
                <a:extLst>
                  <a:ext uri="{FF2B5EF4-FFF2-40B4-BE49-F238E27FC236}">
                    <a16:creationId xmlns="" xmlns:a16="http://schemas.microsoft.com/office/drawing/2014/main" id="{00000000-0008-0000-0400-000084040000}"/>
                  </a:ext>
                </a:extLst>
              </xdr:cNvPr>
              <xdr:cNvSpPr>
                <a:spLocks noChangeArrowheads="1"/>
              </xdr:cNvSpPr>
            </xdr:nvSpPr>
            <xdr:spPr bwMode="auto">
              <a:xfrm>
                <a:off x="1211664" y="1184517"/>
                <a:ext cx="21654" cy="6839"/>
              </a:xfrm>
              <a:prstGeom prst="rect">
                <a:avLst/>
              </a:prstGeom>
              <a:solidFill>
                <a:srgbClr val="FFFFFF"/>
              </a:solidFill>
              <a:ln w="1270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5" name="AutoShape 131">
                <a:extLst>
                  <a:ext uri="{FF2B5EF4-FFF2-40B4-BE49-F238E27FC236}">
                    <a16:creationId xmlns="" xmlns:a16="http://schemas.microsoft.com/office/drawing/2014/main" id="{00000000-0008-0000-0400-000083040000}"/>
                  </a:ext>
                </a:extLst>
              </xdr:cNvPr>
              <xdr:cNvSpPr>
                <a:spLocks noChangeShapeType="1"/>
              </xdr:cNvSpPr>
            </xdr:nvSpPr>
            <xdr:spPr bwMode="auto">
              <a:xfrm flipV="1">
                <a:off x="1229160" y="1187547"/>
                <a:ext cx="36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4" name="AutoShape 130">
                <a:extLst>
                  <a:ext uri="{FF2B5EF4-FFF2-40B4-BE49-F238E27FC236}">
                    <a16:creationId xmlns="" xmlns:a16="http://schemas.microsoft.com/office/drawing/2014/main" id="{00000000-0008-0000-0400-000082040000}"/>
                  </a:ext>
                </a:extLst>
              </xdr:cNvPr>
              <xdr:cNvSpPr>
                <a:spLocks noChangeShapeType="1"/>
              </xdr:cNvSpPr>
            </xdr:nvSpPr>
            <xdr:spPr bwMode="auto">
              <a:xfrm flipV="1">
                <a:off x="1214760" y="1190344"/>
                <a:ext cx="180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3" name="AutoShape 129">
                <a:extLst>
                  <a:ext uri="{FF2B5EF4-FFF2-40B4-BE49-F238E27FC236}">
                    <a16:creationId xmlns="" xmlns:a16="http://schemas.microsoft.com/office/drawing/2014/main" id="{00000000-0008-0000-0400-000081040000}"/>
                  </a:ext>
                </a:extLst>
              </xdr:cNvPr>
              <xdr:cNvSpPr>
                <a:spLocks noChangeShapeType="1"/>
              </xdr:cNvSpPr>
            </xdr:nvSpPr>
            <xdr:spPr bwMode="auto">
              <a:xfrm flipV="1">
                <a:off x="1225560" y="1188882"/>
                <a:ext cx="72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2" name="Text Box 128">
                <a:extLst>
                  <a:ext uri="{FF2B5EF4-FFF2-40B4-BE49-F238E27FC236}">
                    <a16:creationId xmlns="" xmlns:a16="http://schemas.microsoft.com/office/drawing/2014/main" id="{00000000-0008-0000-0400-000080040000}"/>
                  </a:ext>
                </a:extLst>
              </xdr:cNvPr>
              <xdr:cNvSpPr txBox="1">
                <a:spLocks noChangeArrowheads="1"/>
              </xdr:cNvSpPr>
            </xdr:nvSpPr>
            <xdr:spPr bwMode="auto">
              <a:xfrm>
                <a:off x="1226252" y="1186554"/>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xdr:txBody>
          </xdr:sp>
          <xdr:sp macro="" textlink="">
            <xdr:nvSpPr>
              <xdr:cNvPr id="1151" name="Text Box 127">
                <a:extLst>
                  <a:ext uri="{FF2B5EF4-FFF2-40B4-BE49-F238E27FC236}">
                    <a16:creationId xmlns="" xmlns:a16="http://schemas.microsoft.com/office/drawing/2014/main" id="{00000000-0008-0000-0400-00007F040000}"/>
                  </a:ext>
                </a:extLst>
              </xdr:cNvPr>
              <xdr:cNvSpPr txBox="1">
                <a:spLocks noChangeArrowheads="1"/>
              </xdr:cNvSpPr>
            </xdr:nvSpPr>
            <xdr:spPr bwMode="auto">
              <a:xfrm>
                <a:off x="1222571" y="1187899"/>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xdr:txBody>
          </xdr:sp>
          <xdr:sp macro="" textlink="">
            <xdr:nvSpPr>
              <xdr:cNvPr id="1150" name="Text Box 126">
                <a:extLst>
                  <a:ext uri="{FF2B5EF4-FFF2-40B4-BE49-F238E27FC236}">
                    <a16:creationId xmlns="" xmlns:a16="http://schemas.microsoft.com/office/drawing/2014/main" id="{00000000-0008-0000-0400-00007E040000}"/>
                  </a:ext>
                </a:extLst>
              </xdr:cNvPr>
              <xdr:cNvSpPr txBox="1">
                <a:spLocks noChangeArrowheads="1"/>
              </xdr:cNvSpPr>
            </xdr:nvSpPr>
            <xdr:spPr bwMode="auto">
              <a:xfrm>
                <a:off x="1211855" y="1189328"/>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xdr:txBody>
          </xdr:sp>
          <xdr:sp macro="" textlink="">
            <xdr:nvSpPr>
              <xdr:cNvPr id="1149" name="Text Box 125">
                <a:extLst>
                  <a:ext uri="{FF2B5EF4-FFF2-40B4-BE49-F238E27FC236}">
                    <a16:creationId xmlns="" xmlns:a16="http://schemas.microsoft.com/office/drawing/2014/main" id="{00000000-0008-0000-0400-00007D040000}"/>
                  </a:ext>
                </a:extLst>
              </xdr:cNvPr>
              <xdr:cNvSpPr txBox="1">
                <a:spLocks noChangeArrowheads="1"/>
              </xdr:cNvSpPr>
            </xdr:nvSpPr>
            <xdr:spPr bwMode="auto">
              <a:xfrm>
                <a:off x="1211664" y="1184526"/>
                <a:ext cx="21654" cy="2230"/>
              </a:xfrm>
              <a:prstGeom prst="rect">
                <a:avLst/>
              </a:prstGeom>
              <a:noFill/>
              <a:ln w="12700">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xdr:txBody>
          </xdr:sp>
        </xdr:grpSp>
        <xdr:pic>
          <xdr:nvPicPr>
            <xdr:cNvPr id="259" name="Picture 258" descr="key for track infomation">
              <a:extLst>
                <a:ext uri="{FF2B5EF4-FFF2-40B4-BE49-F238E27FC236}">
                  <a16:creationId xmlns="" xmlns:a16="http://schemas.microsoft.com/office/drawing/2014/main" id="{00000000-0008-0000-0400-00000301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258160" y="1177500"/>
              <a:ext cx="10852" cy="165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pic>
      </xdr:grpSp>
    </xdr:grpSp>
    <xdr:clientData/>
  </xdr:twoCellAnchor>
  <xdr:twoCellAnchor>
    <xdr:from>
      <xdr:col>9</xdr:col>
      <xdr:colOff>190500</xdr:colOff>
      <xdr:row>55</xdr:row>
      <xdr:rowOff>179615</xdr:rowOff>
    </xdr:from>
    <xdr:to>
      <xdr:col>18</xdr:col>
      <xdr:colOff>884464</xdr:colOff>
      <xdr:row>74</xdr:row>
      <xdr:rowOff>27214</xdr:rowOff>
    </xdr:to>
    <xdr:graphicFrame macro="">
      <xdr:nvGraphicFramePr>
        <xdr:cNvPr id="2" name="Chart 1">
          <a:extLst>
            <a:ext uri="{FF2B5EF4-FFF2-40B4-BE49-F238E27FC236}">
              <a16:creationId xmlns=""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9</xdr:col>
      <xdr:colOff>268428</xdr:colOff>
      <xdr:row>141</xdr:row>
      <xdr:rowOff>152399</xdr:rowOff>
    </xdr:from>
    <xdr:to>
      <xdr:col>18</xdr:col>
      <xdr:colOff>917863</xdr:colOff>
      <xdr:row>165</xdr:row>
      <xdr:rowOff>121227</xdr:rowOff>
    </xdr:to>
    <xdr:graphicFrame macro="">
      <xdr:nvGraphicFramePr>
        <xdr:cNvPr id="4" name="Chart 3">
          <a:extLst>
            <a:ext uri="{FF2B5EF4-FFF2-40B4-BE49-F238E27FC236}">
              <a16:creationId xmlns=""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xdr:col>
      <xdr:colOff>5357428</xdr:colOff>
      <xdr:row>64</xdr:row>
      <xdr:rowOff>57048</xdr:rowOff>
    </xdr:from>
    <xdr:to>
      <xdr:col>5</xdr:col>
      <xdr:colOff>5357428</xdr:colOff>
      <xdr:row>73</xdr:row>
      <xdr:rowOff>142548</xdr:rowOff>
    </xdr:to>
    <xdr:sp macro="" textlink="">
      <xdr:nvSpPr>
        <xdr:cNvPr id="133" name="AutoShape 130">
          <a:extLst>
            <a:ext uri="{FF2B5EF4-FFF2-40B4-BE49-F238E27FC236}">
              <a16:creationId xmlns="" xmlns:a16="http://schemas.microsoft.com/office/drawing/2014/main" id="{00000000-0008-0000-0400-000085000000}"/>
            </a:ext>
          </a:extLst>
        </xdr:cNvPr>
        <xdr:cNvSpPr>
          <a:spLocks noChangeShapeType="1"/>
        </xdr:cNvSpPr>
      </xdr:nvSpPr>
      <xdr:spPr bwMode="auto">
        <a:xfrm flipV="1">
          <a:off x="11677546" y="12293872"/>
          <a:ext cx="0" cy="180000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clientData/>
  </xdr:twoCellAnchor>
  <xdr:twoCellAnchor>
    <xdr:from>
      <xdr:col>5</xdr:col>
      <xdr:colOff>5353965</xdr:colOff>
      <xdr:row>54</xdr:row>
      <xdr:rowOff>140176</xdr:rowOff>
    </xdr:from>
    <xdr:to>
      <xdr:col>5</xdr:col>
      <xdr:colOff>5353965</xdr:colOff>
      <xdr:row>64</xdr:row>
      <xdr:rowOff>35176</xdr:rowOff>
    </xdr:to>
    <xdr:sp macro="" textlink="">
      <xdr:nvSpPr>
        <xdr:cNvPr id="134" name="AutoShape 130">
          <a:extLst>
            <a:ext uri="{FF2B5EF4-FFF2-40B4-BE49-F238E27FC236}">
              <a16:creationId xmlns="" xmlns:a16="http://schemas.microsoft.com/office/drawing/2014/main" id="{00000000-0008-0000-0400-000086000000}"/>
            </a:ext>
          </a:extLst>
        </xdr:cNvPr>
        <xdr:cNvSpPr>
          <a:spLocks noChangeShapeType="1"/>
        </xdr:cNvSpPr>
      </xdr:nvSpPr>
      <xdr:spPr bwMode="auto">
        <a:xfrm flipV="1">
          <a:off x="11674083" y="10472000"/>
          <a:ext cx="0" cy="180000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clientData/>
  </xdr:twoCellAnchor>
  <xdr:twoCellAnchor>
    <xdr:from>
      <xdr:col>5</xdr:col>
      <xdr:colOff>5356412</xdr:colOff>
      <xdr:row>45</xdr:row>
      <xdr:rowOff>56029</xdr:rowOff>
    </xdr:from>
    <xdr:to>
      <xdr:col>5</xdr:col>
      <xdr:colOff>5356412</xdr:colOff>
      <xdr:row>54</xdr:row>
      <xdr:rowOff>141529</xdr:rowOff>
    </xdr:to>
    <xdr:sp macro="" textlink="">
      <xdr:nvSpPr>
        <xdr:cNvPr id="135" name="AutoShape 130">
          <a:extLst>
            <a:ext uri="{FF2B5EF4-FFF2-40B4-BE49-F238E27FC236}">
              <a16:creationId xmlns="" xmlns:a16="http://schemas.microsoft.com/office/drawing/2014/main" id="{00000000-0008-0000-0400-000087000000}"/>
            </a:ext>
          </a:extLst>
        </xdr:cNvPr>
        <xdr:cNvSpPr>
          <a:spLocks noChangeShapeType="1"/>
        </xdr:cNvSpPr>
      </xdr:nvSpPr>
      <xdr:spPr bwMode="auto">
        <a:xfrm flipV="1">
          <a:off x="11676530" y="8673353"/>
          <a:ext cx="0" cy="180000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clientData/>
  </xdr:twoCellAnchor>
</xdr:wsDr>
</file>

<file path=xl/theme/theme1.xml><?xml version="1.0" encoding="utf-8"?>
<a:theme xmlns:a="http://schemas.openxmlformats.org/drawingml/2006/main" name="Parcel">
  <a:themeElements>
    <a:clrScheme name="Parcel">
      <a:dk1>
        <a:srgbClr val="000000"/>
      </a:dk1>
      <a:lt1>
        <a:srgbClr val="FFFFFF"/>
      </a:lt1>
      <a:dk2>
        <a:srgbClr val="4A5356"/>
      </a:dk2>
      <a:lt2>
        <a:srgbClr val="E8E3CE"/>
      </a:lt2>
      <a:accent1>
        <a:srgbClr val="F6A21D"/>
      </a:accent1>
      <a:accent2>
        <a:srgbClr val="9BAFB5"/>
      </a:accent2>
      <a:accent3>
        <a:srgbClr val="C96731"/>
      </a:accent3>
      <a:accent4>
        <a:srgbClr val="9CA383"/>
      </a:accent4>
      <a:accent5>
        <a:srgbClr val="87795D"/>
      </a:accent5>
      <a:accent6>
        <a:srgbClr val="A0988C"/>
      </a:accent6>
      <a:hlink>
        <a:srgbClr val="00B0F0"/>
      </a:hlink>
      <a:folHlink>
        <a:srgbClr val="738F97"/>
      </a:folHlink>
    </a:clrScheme>
    <a:fontScheme name="Parcel">
      <a:majorFont>
        <a:latin typeface="Gill Sans MT" panose="020B0502020104020203"/>
        <a:ea typeface=""/>
        <a:cs typeface=""/>
        <a:font script="Grek" typeface="Corbel"/>
        <a:font script="Cyrl" typeface="Corbel"/>
        <a:font script="Jpan" typeface="HGｺﾞｼｯｸE"/>
        <a:font script="Hang" typeface="휴먼매직체"/>
        <a:font script="Hans" typeface="华文中宋"/>
        <a:font script="Hant" typeface="微軟正黑體"/>
        <a:font script="Arab" typeface="Majalla UI"/>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Gill Sans MT" panose="020B0502020104020203"/>
        <a:ea typeface=""/>
        <a:cs typeface=""/>
        <a:font script="Grek" typeface="Corbel"/>
        <a:font script="Cyrl" typeface="Corbel"/>
        <a:font script="Jpan" typeface="HGｺﾞｼｯｸE"/>
        <a:font script="Hang" typeface="휴먼매직체"/>
        <a:font script="Hans" typeface="华文中宋"/>
        <a:font script="Hant" typeface="微軟正黑體"/>
        <a:font script="Arab" typeface="Majalla UI"/>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Parcel">
      <a:fillStyleLst>
        <a:solidFill>
          <a:schemeClr val="phClr"/>
        </a:solidFill>
        <a:gradFill rotWithShape="1">
          <a:gsLst>
            <a:gs pos="0">
              <a:schemeClr val="phClr">
                <a:tint val="80000"/>
                <a:satMod val="107000"/>
                <a:lumMod val="103000"/>
              </a:schemeClr>
            </a:gs>
            <a:gs pos="100000">
              <a:schemeClr val="phClr">
                <a:tint val="82000"/>
                <a:satMod val="109000"/>
                <a:lumMod val="103000"/>
              </a:schemeClr>
            </a:gs>
          </a:gsLst>
          <a:lin ang="5400000" scaled="0"/>
        </a:gradFill>
        <a:gradFill rotWithShape="1">
          <a:gsLst>
            <a:gs pos="0">
              <a:schemeClr val="phClr">
                <a:tint val="97000"/>
                <a:satMod val="100000"/>
                <a:lumMod val="102000"/>
              </a:schemeClr>
            </a:gs>
            <a:gs pos="50000">
              <a:schemeClr val="phClr">
                <a:shade val="100000"/>
                <a:satMod val="103000"/>
                <a:lumMod val="100000"/>
              </a:schemeClr>
            </a:gs>
            <a:gs pos="100000">
              <a:schemeClr val="phClr">
                <a:shade val="93000"/>
                <a:satMod val="110000"/>
                <a:lumMod val="9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31750" cap="flat" cmpd="sng" algn="ctr">
          <a:solidFill>
            <a:schemeClr val="phClr"/>
          </a:solidFill>
          <a:prstDash val="solid"/>
        </a:ln>
      </a:lnStyleLst>
      <a:effectStyleLst>
        <a:effectStyle>
          <a:effectLst/>
        </a:effectStyle>
        <a:effectStyle>
          <a:effectLst/>
        </a:effectStyle>
        <a:effectStyle>
          <a:effectLst>
            <a:outerShdw blurRad="55880" dist="15240" dir="5400000" algn="ctr" rotWithShape="0">
              <a:srgbClr val="000000">
                <a:alpha val="45000"/>
              </a:srgbClr>
            </a:outerShdw>
          </a:effectLst>
          <a:scene3d>
            <a:camera prst="orthographicFront">
              <a:rot lat="0" lon="0" rev="0"/>
            </a:camera>
            <a:lightRig rig="brightRoom" dir="tl"/>
          </a:scene3d>
          <a:sp3d prstMaterial="dkEdge">
            <a:bevelT w="0" h="0"/>
          </a:sp3d>
        </a:effectStyle>
      </a:effectStyleLst>
      <a:bgFillStyleLst>
        <a:solidFill>
          <a:schemeClr val="phClr"/>
        </a:solidFill>
        <a:solidFill>
          <a:schemeClr val="phClr">
            <a:tint val="95000"/>
            <a:satMod val="170000"/>
          </a:schemeClr>
        </a:solidFill>
        <a:gradFill rotWithShape="1">
          <a:gsLst>
            <a:gs pos="0">
              <a:schemeClr val="phClr">
                <a:tint val="97000"/>
                <a:shade val="100000"/>
                <a:satMod val="185000"/>
                <a:lumMod val="120000"/>
              </a:schemeClr>
            </a:gs>
            <a:gs pos="100000">
              <a:schemeClr val="phClr">
                <a:tint val="96000"/>
                <a:shade val="95000"/>
                <a:satMod val="215000"/>
                <a:lumMod val="80000"/>
              </a:schemeClr>
            </a:gs>
          </a:gsLst>
          <a:path path="circle">
            <a:fillToRect l="50000" t="55000" r="125000" b="100000"/>
          </a:path>
        </a:gradFill>
      </a:bgFillStyleLst>
    </a:fmtScheme>
  </a:themeElements>
  <a:objectDefaults/>
  <a:extraClrSchemeLst/>
  <a:extLst>
    <a:ext uri="{05A4C25C-085E-4340-85A3-A5531E510DB2}">
      <thm15:themeFamily xmlns:thm15="http://schemas.microsoft.com/office/thememl/2012/main" name="Parcel" id="{8BEC4385-4EB9-4D53-BFB5-0EA123736B6D}" vid="{4DB32801-28C0-48B0-8C1D-A9A58613615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s://quaife.co.uk/downloads/Quaife-Catalogue2018.pdf" TargetMode="External"/><Relationship Id="rId7" Type="http://schemas.openxmlformats.org/officeDocument/2006/relationships/drawing" Target="../drawings/drawing1.xml"/><Relationship Id="rId2" Type="http://schemas.openxmlformats.org/officeDocument/2006/relationships/hyperlink" Target="http://www.ragemotorsport.com/cli/RMS001/PDF/2012_ZX14R_Service_Manual.pdf" TargetMode="External"/><Relationship Id="rId1" Type="http://schemas.openxmlformats.org/officeDocument/2006/relationships/hyperlink" Target="https://ragemotorsport.com/shop/custom.asp?cpid=custom62" TargetMode="External"/><Relationship Id="rId6" Type="http://schemas.openxmlformats.org/officeDocument/2006/relationships/printerSettings" Target="../printerSettings/printerSettings1.bin"/><Relationship Id="rId5" Type="http://schemas.openxmlformats.org/officeDocument/2006/relationships/hyperlink" Target="http://www.ragemotorsport.com/cli/RMS001/PDF/Rage%20Comet%20Comet%20R%20Maintenance%20Guide.pdf" TargetMode="External"/><Relationship Id="rId4" Type="http://schemas.openxmlformats.org/officeDocument/2006/relationships/hyperlink" Target="https://ragemotorsport.com/CLI/RMS001/Images/Rage%20Comet%20R%20UJ%20980pix%20001.jpg" TargetMode="Externa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quaife.co.uk/downloads/Quaife-Catalogue2018.pdf" TargetMode="External"/><Relationship Id="rId7" Type="http://schemas.openxmlformats.org/officeDocument/2006/relationships/drawing" Target="../drawings/drawing2.xml"/><Relationship Id="rId2" Type="http://schemas.openxmlformats.org/officeDocument/2006/relationships/hyperlink" Target="http://www.ragemotorsport.com/cli/RMS001/PDF/2012_ZX14R_Service_Manual.pdf" TargetMode="External"/><Relationship Id="rId1" Type="http://schemas.openxmlformats.org/officeDocument/2006/relationships/hyperlink" Target="https://ragemotorsport.com/shop/custom.asp?cpid=custom62" TargetMode="External"/><Relationship Id="rId6" Type="http://schemas.openxmlformats.org/officeDocument/2006/relationships/printerSettings" Target="../printerSettings/printerSettings2.bin"/><Relationship Id="rId5" Type="http://schemas.openxmlformats.org/officeDocument/2006/relationships/hyperlink" Target="http://www.ragemotorsport.com/cli/RMS001/PDF/Rage%20Comet%20Comet%20R%20Maintenance%20Guide.pdf" TargetMode="External"/><Relationship Id="rId4" Type="http://schemas.openxmlformats.org/officeDocument/2006/relationships/hyperlink" Target="https://ragemotorsport.com/CLI/RMS001/Images/Rage%20Comet%20R%20UJ%20980pix%20001.jpg" TargetMode="External"/><Relationship Id="rId9"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hyperlink" Target="https://www.ebay.com/itm/2001-kwasaki-vulcan-500-Running-Engine/352637981996?hash=item521adc952c:g:nycAAOSwEzxYXZes" TargetMode="External"/><Relationship Id="rId13" Type="http://schemas.openxmlformats.org/officeDocument/2006/relationships/hyperlink" Target="https://www.yasa.com/wp-content/uploads/2019/04/YASA_Si400_Controller.pdf" TargetMode="External"/><Relationship Id="rId18" Type="http://schemas.openxmlformats.org/officeDocument/2006/relationships/hyperlink" Target="https://quaife.co.uk/downloads/Quaife-Catalogue2018.pdf" TargetMode="External"/><Relationship Id="rId3" Type="http://schemas.openxmlformats.org/officeDocument/2006/relationships/hyperlink" Target="https://www.yasa.com/wp-content/uploads/2018/01/YASA_P400_Product_Sheet.pdf" TargetMode="External"/><Relationship Id="rId21" Type="http://schemas.openxmlformats.org/officeDocument/2006/relationships/hyperlink" Target="https://www.locostbuilders.co.uk/viewthread.php?tid=187997" TargetMode="External"/><Relationship Id="rId7" Type="http://schemas.openxmlformats.org/officeDocument/2006/relationships/hyperlink" Target="https://www.kawasaki-onlinetechinfo.net/dispeBook?file=99976-1086&amp;mark=EN500-C7&amp;manual_kind=OM&amp;lang_code=EN&amp;model_year=2002&amp;nickname=EN500&amp;dist_cd=207&amp;country_cd=--&amp;manual_filenm=99976-1086_EN_2.pdf&amp;first_referrer=https%3A%2F%2Fwww.kawasaki.co.uk%2F" TargetMode="External"/><Relationship Id="rId12" Type="http://schemas.openxmlformats.org/officeDocument/2006/relationships/hyperlink" Target="https://www.yasa.com/wp-content/uploads/2018/01/YASA_P400_Product_Sheet.pdf" TargetMode="External"/><Relationship Id="rId17" Type="http://schemas.openxmlformats.org/officeDocument/2006/relationships/hyperlink" Target="https://quaife.co.uk/downloads/Quaife-Catalogue2018.pdf" TargetMode="External"/><Relationship Id="rId25" Type="http://schemas.openxmlformats.org/officeDocument/2006/relationships/comments" Target="../comments3.xml"/><Relationship Id="rId2" Type="http://schemas.openxmlformats.org/officeDocument/2006/relationships/hyperlink" Target="https://scholarsmine.mst.edu/cgi/viewcontent.cgi?article=7857&amp;context=masters_theses" TargetMode="External"/><Relationship Id="rId16" Type="http://schemas.openxmlformats.org/officeDocument/2006/relationships/hyperlink" Target="https://www.ebay.co.uk/itm/Kawasaki-ZZR1400-Engine-Gen-2-Complete-Motor-Only-17k-Miles-2012-2015-000-/113943642244" TargetMode="External"/><Relationship Id="rId20" Type="http://schemas.openxmlformats.org/officeDocument/2006/relationships/hyperlink" Target="https://www.diyelectriccar.com/forums/showthread.php/yasa-400-motor-new-and-unused-168866.html" TargetMode="External"/><Relationship Id="rId1" Type="http://schemas.openxmlformats.org/officeDocument/2006/relationships/hyperlink" Target="https://shop.quaife.co.uk/quaife-powertec-gear-drive-system" TargetMode="External"/><Relationship Id="rId6" Type="http://schemas.openxmlformats.org/officeDocument/2006/relationships/hyperlink" Target="https://yangtze-power.en.made-in-china.com/product/KjInCMQVkScB/China-Yangtze-12V-500ah-Lithium-Ion-Battery-Pack.html" TargetMode="External"/><Relationship Id="rId11" Type="http://schemas.openxmlformats.org/officeDocument/2006/relationships/hyperlink" Target="https://www.diyelectriccar.com/forums/showthread.php/yasa-400-motor-new-and-unused-168866.html" TargetMode="External"/><Relationship Id="rId24" Type="http://schemas.openxmlformats.org/officeDocument/2006/relationships/vmlDrawing" Target="../drawings/vmlDrawing3.vml"/><Relationship Id="rId5" Type="http://schemas.openxmlformats.org/officeDocument/2006/relationships/hyperlink" Target="http://www.ti.com/lit/ug/tiduai7/tiduai7.pdf" TargetMode="External"/><Relationship Id="rId15" Type="http://schemas.openxmlformats.org/officeDocument/2006/relationships/hyperlink" Target="https://yangtze-power.en.made-in-china.com/product/KjInCMQVkScB/China-Yangtze-12V-500ah-Lithium-Ion-Battery-Pack.html" TargetMode="External"/><Relationship Id="rId23" Type="http://schemas.openxmlformats.org/officeDocument/2006/relationships/drawing" Target="../drawings/drawing3.xml"/><Relationship Id="rId10" Type="http://schemas.openxmlformats.org/officeDocument/2006/relationships/hyperlink" Target="https://www.diyelectriccar.com/forums/showthread.php/yasa-400-motor-new-and-unused-168866.html" TargetMode="External"/><Relationship Id="rId19" Type="http://schemas.openxmlformats.org/officeDocument/2006/relationships/hyperlink" Target="https://www.kawasaki-onlinetechinfo.net/dispeBook?file=99976-1086&amp;mark=EN500-C7&amp;manual_kind=OM&amp;lang_code=EN&amp;model_year=2002&amp;nickname=EN500&amp;dist_cd=207&amp;country_cd=--&amp;manual_filenm=99976-1086_EN_2.pdf&amp;first_referrer=https%3A%2F%2Fwww.kawasaki.co.uk%2F" TargetMode="External"/><Relationship Id="rId4" Type="http://schemas.openxmlformats.org/officeDocument/2006/relationships/hyperlink" Target="https://www.yasa.com/wp-content/uploads/2019/04/YASA_Si400_Controller.pdf" TargetMode="External"/><Relationship Id="rId9" Type="http://schemas.openxmlformats.org/officeDocument/2006/relationships/hyperlink" Target="https://www.locostbuilders.co.uk/viewthread.php?tid=187997" TargetMode="External"/><Relationship Id="rId14" Type="http://schemas.openxmlformats.org/officeDocument/2006/relationships/hyperlink" Target="https://yangtze-power.en.made-in-china.com/product/KjInCMQVkScB/China-Yangtze-12V-500ah-Lithium-Ion-Battery-Pack.html" TargetMode="External"/><Relationship Id="rId22"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quaife.co.uk/downloads/Quaife-Catalogue2018.pdf" TargetMode="External"/><Relationship Id="rId2" Type="http://schemas.openxmlformats.org/officeDocument/2006/relationships/hyperlink" Target="http://www.ragemotorsport.com/cli/RMS001/PDF/2012_ZX14R_Service_Manual.pdf" TargetMode="External"/><Relationship Id="rId1" Type="http://schemas.openxmlformats.org/officeDocument/2006/relationships/hyperlink" Target="https://ragemotorsport.com/shop/custom.asp?cpid=custom62" TargetMode="External"/><Relationship Id="rId6" Type="http://schemas.openxmlformats.org/officeDocument/2006/relationships/drawing" Target="../drawings/drawing4.xml"/><Relationship Id="rId5" Type="http://schemas.openxmlformats.org/officeDocument/2006/relationships/hyperlink" Target="http://www.ragemotorsport.com/cli/RMS001/PDF/Rage%20Comet%20Comet%20R%20Maintenance%20Guide.pdf" TargetMode="External"/><Relationship Id="rId4" Type="http://schemas.openxmlformats.org/officeDocument/2006/relationships/hyperlink" Target="https://ragemotorsport.com/CLI/RMS001/Images/Rage%20Comet%20R%20UJ%20980pix%20001.jpg"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quaife.co.uk/downloads/Quaife-Catalogue2018.pdf" TargetMode="External"/><Relationship Id="rId7" Type="http://schemas.openxmlformats.org/officeDocument/2006/relationships/drawing" Target="../drawings/drawing5.xml"/><Relationship Id="rId2" Type="http://schemas.openxmlformats.org/officeDocument/2006/relationships/hyperlink" Target="http://www.ragemotorsport.com/cli/RMS001/PDF/2012_ZX14R_Service_Manual.pdf" TargetMode="External"/><Relationship Id="rId1" Type="http://schemas.openxmlformats.org/officeDocument/2006/relationships/hyperlink" Target="https://ragemotorsport.com/shop/custom.asp?cpid=custom62" TargetMode="External"/><Relationship Id="rId6" Type="http://schemas.openxmlformats.org/officeDocument/2006/relationships/printerSettings" Target="../printerSettings/printerSettings4.bin"/><Relationship Id="rId5" Type="http://schemas.openxmlformats.org/officeDocument/2006/relationships/hyperlink" Target="http://www.ragemotorsport.com/cli/RMS001/PDF/Rage%20Comet%20Comet%20R%20Maintenance%20Guide.pdf" TargetMode="External"/><Relationship Id="rId4" Type="http://schemas.openxmlformats.org/officeDocument/2006/relationships/hyperlink" Target="https://ragemotorsport.com/CLI/RMS001/Images/Rage%20Comet%20R%20UJ%20980pix%20001.jp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sheetPr>
  <dimension ref="A1:AJ238"/>
  <sheetViews>
    <sheetView topLeftCell="AD1" zoomScale="55" zoomScaleNormal="55" workbookViewId="0">
      <pane ySplit="1" topLeftCell="A134" activePane="bottomLeft" state="frozen"/>
      <selection pane="bottomLeft" activeCell="AH5" sqref="AH5"/>
    </sheetView>
  </sheetViews>
  <sheetFormatPr defaultRowHeight="14.25" x14ac:dyDescent="0.2"/>
  <cols>
    <col min="1" max="1" width="36.75" style="85" bestFit="1" customWidth="1"/>
    <col min="2" max="2" width="15.875" style="86" customWidth="1"/>
    <col min="3" max="3" width="99.5" style="86" customWidth="1"/>
    <col min="4" max="4" width="28" style="85" customWidth="1"/>
    <col min="5" max="5" width="84.125" style="85" customWidth="1"/>
    <col min="6" max="6" width="112.375" style="85" customWidth="1"/>
    <col min="7" max="7" width="108.375" style="85" customWidth="1"/>
    <col min="8" max="8" width="72" style="85" bestFit="1" customWidth="1"/>
    <col min="9" max="9" width="26.125" style="85" bestFit="1" customWidth="1"/>
    <col min="10" max="10" width="21.75" style="85" bestFit="1" customWidth="1"/>
    <col min="11" max="11" width="23.125" style="85" bestFit="1" customWidth="1"/>
    <col min="12" max="12" width="36.125" style="85" bestFit="1" customWidth="1"/>
    <col min="13" max="13" width="29.375" style="85" bestFit="1" customWidth="1"/>
    <col min="14" max="14" width="26.375" style="85" bestFit="1" customWidth="1"/>
    <col min="15" max="15" width="21" style="85" bestFit="1" customWidth="1"/>
    <col min="16" max="16" width="14.75" style="85" bestFit="1" customWidth="1"/>
    <col min="17" max="17" width="17.375" style="85" bestFit="1" customWidth="1"/>
    <col min="18" max="18" width="18" style="85" bestFit="1" customWidth="1"/>
    <col min="19" max="19" width="17.25" style="85" bestFit="1" customWidth="1"/>
    <col min="20" max="20" width="21.125" style="85" bestFit="1" customWidth="1"/>
    <col min="21" max="21" width="30" style="85" bestFit="1" customWidth="1"/>
    <col min="22" max="22" width="39" style="85" bestFit="1" customWidth="1"/>
    <col min="23" max="23" width="21.875" style="85" bestFit="1" customWidth="1"/>
    <col min="24" max="24" width="27.625" style="85" bestFit="1" customWidth="1"/>
    <col min="25" max="25" width="35.5" style="85" bestFit="1" customWidth="1"/>
    <col min="26" max="26" width="20.125" style="85" bestFit="1" customWidth="1"/>
    <col min="27" max="27" width="29.25" style="85" bestFit="1" customWidth="1"/>
    <col min="28" max="28" width="35.125" style="85" bestFit="1" customWidth="1"/>
    <col min="29" max="29" width="32.625" style="85" bestFit="1" customWidth="1"/>
    <col min="30" max="30" width="30.625" style="85" bestFit="1" customWidth="1"/>
    <col min="31" max="31" width="0.5" style="85" customWidth="1"/>
    <col min="32" max="32" width="195" style="85" customWidth="1"/>
    <col min="33" max="33" width="15.375" style="85" bestFit="1" customWidth="1"/>
    <col min="34" max="34" width="160.125" style="85" bestFit="1" customWidth="1"/>
    <col min="35" max="36" width="9" style="85"/>
    <col min="37" max="37" width="10" style="85" customWidth="1"/>
    <col min="38" max="16384" width="9" style="85"/>
  </cols>
  <sheetData>
    <row r="1" spans="1:36" s="87" customFormat="1" ht="31.5" customHeight="1" x14ac:dyDescent="0.35">
      <c r="A1" s="137" t="s">
        <v>62</v>
      </c>
      <c r="B1" s="138"/>
      <c r="C1" s="35" t="s">
        <v>160</v>
      </c>
      <c r="D1" s="135" t="s">
        <v>63</v>
      </c>
      <c r="E1" s="136"/>
      <c r="F1" s="36" t="s">
        <v>145</v>
      </c>
      <c r="G1" s="36" t="s">
        <v>161</v>
      </c>
      <c r="H1" s="37" t="s">
        <v>94</v>
      </c>
      <c r="I1" s="36" t="s">
        <v>0</v>
      </c>
      <c r="J1" s="36" t="s">
        <v>110</v>
      </c>
      <c r="K1" s="36" t="s">
        <v>27</v>
      </c>
      <c r="L1" s="36" t="s">
        <v>154</v>
      </c>
      <c r="M1" s="36" t="s">
        <v>28</v>
      </c>
      <c r="N1" s="36" t="s">
        <v>28</v>
      </c>
      <c r="O1" s="36" t="s">
        <v>105</v>
      </c>
      <c r="P1" s="36" t="s">
        <v>151</v>
      </c>
      <c r="Q1" s="36" t="s">
        <v>156</v>
      </c>
      <c r="R1" s="36" t="s">
        <v>106</v>
      </c>
      <c r="S1" s="36" t="s">
        <v>99</v>
      </c>
      <c r="T1" s="36" t="s">
        <v>142</v>
      </c>
      <c r="U1" s="36" t="s">
        <v>107</v>
      </c>
      <c r="V1" s="36" t="s">
        <v>109</v>
      </c>
      <c r="W1" s="36" t="s">
        <v>141</v>
      </c>
      <c r="X1" s="36" t="s">
        <v>140</v>
      </c>
      <c r="Y1" s="36" t="s">
        <v>143</v>
      </c>
      <c r="Z1" s="36" t="s">
        <v>102</v>
      </c>
      <c r="AA1" s="36" t="s">
        <v>139</v>
      </c>
      <c r="AB1" s="36" t="s">
        <v>138</v>
      </c>
      <c r="AC1" s="36" t="s">
        <v>137</v>
      </c>
      <c r="AD1" s="36" t="s">
        <v>157</v>
      </c>
      <c r="AE1" s="36"/>
      <c r="AF1" s="36" t="s">
        <v>158</v>
      </c>
      <c r="AG1" s="36" t="s">
        <v>70</v>
      </c>
      <c r="AH1" s="36"/>
      <c r="AI1" s="76"/>
      <c r="AJ1" s="76"/>
    </row>
    <row r="2" spans="1:36" s="88" customFormat="1" ht="19.5" x14ac:dyDescent="0.35">
      <c r="A2" s="38" t="s">
        <v>155</v>
      </c>
      <c r="B2" s="39">
        <v>719</v>
      </c>
      <c r="C2" s="41"/>
      <c r="D2" s="38" t="s">
        <v>144</v>
      </c>
      <c r="E2" s="40" t="s">
        <v>145</v>
      </c>
      <c r="F2" s="41"/>
      <c r="G2" s="41"/>
      <c r="H2" s="42" t="s">
        <v>29</v>
      </c>
      <c r="I2" s="43">
        <v>0</v>
      </c>
      <c r="J2" s="43">
        <v>0</v>
      </c>
      <c r="K2" s="59">
        <v>0</v>
      </c>
      <c r="L2" s="59">
        <v>0</v>
      </c>
      <c r="M2" s="59">
        <v>0</v>
      </c>
      <c r="N2" s="59">
        <v>0</v>
      </c>
      <c r="O2" s="59">
        <f>N2+8</f>
        <v>8</v>
      </c>
      <c r="P2" s="59">
        <v>0</v>
      </c>
      <c r="Q2" s="59">
        <v>0</v>
      </c>
      <c r="R2" s="59">
        <v>0</v>
      </c>
      <c r="S2" s="59">
        <v>0</v>
      </c>
      <c r="T2" s="59">
        <v>53.644799999999996</v>
      </c>
      <c r="U2" s="59">
        <v>0</v>
      </c>
      <c r="V2" s="59">
        <v>0</v>
      </c>
      <c r="W2" s="59">
        <v>0</v>
      </c>
      <c r="X2" s="59">
        <f>$E$22</f>
        <v>7.6635428571428568</v>
      </c>
      <c r="Y2" s="59">
        <f t="shared" ref="Y2:Y28" si="0">0.5*$B$3*$E$13*$E$12*S2*S2</f>
        <v>0</v>
      </c>
      <c r="Z2" s="59">
        <f t="shared" ref="Z2:Z14" si="1">$E$5*$B$5*$B$4</f>
        <v>510.12</v>
      </c>
      <c r="AA2" s="59">
        <f t="shared" ref="AA2:AA28" si="2">$E$5*$B$5*SIN(RADIANS(P2))</f>
        <v>0</v>
      </c>
      <c r="AB2" s="59">
        <f>Y2+Z2</f>
        <v>510.12</v>
      </c>
      <c r="AC2" s="59">
        <f t="shared" ref="AC2:AC28" si="3">AB2*S2</f>
        <v>0</v>
      </c>
      <c r="AD2" s="59">
        <f>147200-AC2</f>
        <v>147200</v>
      </c>
      <c r="AE2" s="59">
        <f>147200</f>
        <v>147200</v>
      </c>
      <c r="AF2" s="71"/>
      <c r="AG2" s="38">
        <v>1</v>
      </c>
      <c r="AH2" s="9" t="s">
        <v>69</v>
      </c>
      <c r="AI2" s="71"/>
      <c r="AJ2" s="71"/>
    </row>
    <row r="3" spans="1:36" s="88" customFormat="1" ht="18" x14ac:dyDescent="0.25">
      <c r="A3" s="38" t="s">
        <v>165</v>
      </c>
      <c r="B3" s="39">
        <v>1.2</v>
      </c>
      <c r="C3" s="41"/>
      <c r="D3" s="38" t="s">
        <v>148</v>
      </c>
      <c r="E3" s="44">
        <v>575</v>
      </c>
      <c r="F3" s="45"/>
      <c r="G3" s="45"/>
      <c r="H3" s="42" t="s">
        <v>30</v>
      </c>
      <c r="I3" s="43" t="s">
        <v>2</v>
      </c>
      <c r="J3" s="43">
        <v>1</v>
      </c>
      <c r="K3" s="59">
        <v>54</v>
      </c>
      <c r="L3" s="59">
        <f>L2+K3</f>
        <v>54</v>
      </c>
      <c r="M3" s="59">
        <v>6.7</v>
      </c>
      <c r="N3" s="59">
        <v>6.7</v>
      </c>
      <c r="O3" s="59">
        <f>O2+N3</f>
        <v>14.7</v>
      </c>
      <c r="P3" s="59">
        <f>DEGREES(ASIN(N3/K3))</f>
        <v>7.1272878819970913</v>
      </c>
      <c r="Q3" s="59">
        <f>-P2+P3</f>
        <v>7.1272878819970913</v>
      </c>
      <c r="R3" s="59">
        <v>40</v>
      </c>
      <c r="S3" s="59">
        <f>R3/2.237</f>
        <v>17.881090746535538</v>
      </c>
      <c r="T3" s="59">
        <v>53.644799999999996</v>
      </c>
      <c r="U3" s="59">
        <f>K3/S3</f>
        <v>3.0199500000000001</v>
      </c>
      <c r="V3" s="59">
        <f t="shared" ref="V3:V28" si="4">V2+U3</f>
        <v>3.0199500000000001</v>
      </c>
      <c r="W3" s="59">
        <f>-(S2-S3)/U3</f>
        <v>5.9209890052933121</v>
      </c>
      <c r="X3" s="59">
        <f t="shared" ref="X3:X28" si="5">$E$22</f>
        <v>7.6635428571428568</v>
      </c>
      <c r="Y3" s="59">
        <f t="shared" si="0"/>
        <v>111.44563662817941</v>
      </c>
      <c r="Z3" s="59">
        <f t="shared" si="1"/>
        <v>510.12</v>
      </c>
      <c r="AA3" s="59">
        <f t="shared" si="2"/>
        <v>791.15833333333342</v>
      </c>
      <c r="AB3" s="59">
        <f t="shared" ref="AB3:AB28" si="6">Y3+Z3+AA3</f>
        <v>1412.7239699615129</v>
      </c>
      <c r="AC3" s="59">
        <f t="shared" si="3"/>
        <v>25261.045506687758</v>
      </c>
      <c r="AD3" s="59">
        <f t="shared" ref="AD3:AD28" si="7">147200-AC3</f>
        <v>121938.95449331224</v>
      </c>
      <c r="AE3" s="59">
        <f t="shared" ref="AE3:AE28" si="8">147200</f>
        <v>147200</v>
      </c>
      <c r="AF3" s="71"/>
      <c r="AG3" s="38">
        <v>2</v>
      </c>
      <c r="AH3" s="78" t="s">
        <v>88</v>
      </c>
      <c r="AI3" s="71"/>
      <c r="AJ3" s="71"/>
    </row>
    <row r="4" spans="1:36" s="88" customFormat="1" ht="18" x14ac:dyDescent="0.25">
      <c r="A4" s="38" t="s">
        <v>115</v>
      </c>
      <c r="B4" s="39">
        <v>0.08</v>
      </c>
      <c r="C4" s="41"/>
      <c r="D4" s="38" t="s">
        <v>147</v>
      </c>
      <c r="E4" s="44">
        <v>75</v>
      </c>
      <c r="F4" s="45"/>
      <c r="G4" s="45"/>
      <c r="H4" s="42" t="s">
        <v>30</v>
      </c>
      <c r="I4" s="43" t="s">
        <v>1</v>
      </c>
      <c r="J4" s="43">
        <v>2</v>
      </c>
      <c r="K4" s="59">
        <v>66</v>
      </c>
      <c r="L4" s="59">
        <f t="shared" ref="L4:L28" si="9">L3+K4</f>
        <v>120</v>
      </c>
      <c r="M4" s="59">
        <v>4.8</v>
      </c>
      <c r="N4" s="59">
        <v>4.8</v>
      </c>
      <c r="O4" s="59">
        <f t="shared" ref="O4:O27" si="10">O3+N4</f>
        <v>19.5</v>
      </c>
      <c r="P4" s="59">
        <f>DEGREES(ASIN(N4/K4))</f>
        <v>4.1706479118615389</v>
      </c>
      <c r="Q4" s="59">
        <f t="shared" ref="Q4:Q28" si="11">-P3+P4</f>
        <v>-2.9566399701355524</v>
      </c>
      <c r="R4" s="59">
        <v>35</v>
      </c>
      <c r="S4" s="59">
        <f t="shared" ref="S4:S28" si="12">R4/2.237</f>
        <v>15.645954403218596</v>
      </c>
      <c r="T4" s="59">
        <v>53.644799999999996</v>
      </c>
      <c r="U4" s="59">
        <f t="shared" ref="U4:U28" si="13">K4/S4</f>
        <v>4.2183428571428569</v>
      </c>
      <c r="V4" s="59">
        <f t="shared" si="4"/>
        <v>7.2382928571428575</v>
      </c>
      <c r="W4" s="59">
        <f>-(S3-S4)/U4</f>
        <v>-0.52986123200778212</v>
      </c>
      <c r="X4" s="59">
        <f t="shared" si="5"/>
        <v>7.6635428571428568</v>
      </c>
      <c r="Y4" s="59">
        <f t="shared" si="0"/>
        <v>85.325565543449869</v>
      </c>
      <c r="Z4" s="59">
        <f t="shared" si="1"/>
        <v>510.12</v>
      </c>
      <c r="AA4" s="59">
        <f t="shared" si="2"/>
        <v>463.74545454545455</v>
      </c>
      <c r="AB4" s="59">
        <f t="shared" si="6"/>
        <v>1059.1910200889045</v>
      </c>
      <c r="AC4" s="59">
        <f t="shared" si="3"/>
        <v>16572.054404609589</v>
      </c>
      <c r="AD4" s="59">
        <f t="shared" si="7"/>
        <v>130627.94559539041</v>
      </c>
      <c r="AE4" s="59">
        <f t="shared" si="8"/>
        <v>147200</v>
      </c>
      <c r="AF4" s="71"/>
      <c r="AG4" s="38">
        <v>3</v>
      </c>
      <c r="AH4" s="78" t="s">
        <v>86</v>
      </c>
      <c r="AI4" s="71"/>
      <c r="AJ4" s="71"/>
    </row>
    <row r="5" spans="1:36" s="88" customFormat="1" ht="18" x14ac:dyDescent="0.25">
      <c r="A5" s="46" t="s">
        <v>103</v>
      </c>
      <c r="B5" s="47">
        <v>9.81</v>
      </c>
      <c r="C5" s="41"/>
      <c r="D5" s="48" t="s">
        <v>146</v>
      </c>
      <c r="E5" s="44">
        <v>650</v>
      </c>
      <c r="F5" s="45"/>
      <c r="G5" s="45"/>
      <c r="H5" s="42" t="s">
        <v>31</v>
      </c>
      <c r="I5" s="43" t="s">
        <v>3</v>
      </c>
      <c r="J5" s="43">
        <v>3</v>
      </c>
      <c r="K5" s="59">
        <v>42</v>
      </c>
      <c r="L5" s="59">
        <f t="shared" si="9"/>
        <v>162</v>
      </c>
      <c r="M5" s="59">
        <v>-2.7</v>
      </c>
      <c r="N5" s="59">
        <v>-2.9</v>
      </c>
      <c r="O5" s="59">
        <f t="shared" si="10"/>
        <v>16.600000000000001</v>
      </c>
      <c r="P5" s="59">
        <f>DEGREES(ASIN(N5/K5))</f>
        <v>-3.9592874494513626</v>
      </c>
      <c r="Q5" s="59">
        <f t="shared" si="11"/>
        <v>-8.1299353613129011</v>
      </c>
      <c r="R5" s="59">
        <v>20</v>
      </c>
      <c r="S5" s="59">
        <f t="shared" si="12"/>
        <v>8.9405453732677689</v>
      </c>
      <c r="T5" s="59">
        <v>53.644799999999996</v>
      </c>
      <c r="U5" s="59">
        <f t="shared" si="13"/>
        <v>4.6977000000000002</v>
      </c>
      <c r="V5" s="59">
        <f t="shared" si="4"/>
        <v>11.935992857142857</v>
      </c>
      <c r="W5" s="59">
        <f t="shared" ref="W5:W23" si="14">-(S4-S5)/U5</f>
        <v>-1.4273812780617807</v>
      </c>
      <c r="X5" s="59">
        <f t="shared" si="5"/>
        <v>7.6635428571428568</v>
      </c>
      <c r="Y5" s="59">
        <f t="shared" si="0"/>
        <v>27.861409157044854</v>
      </c>
      <c r="Z5" s="59">
        <f t="shared" si="1"/>
        <v>510.12</v>
      </c>
      <c r="AA5" s="59">
        <f t="shared" si="2"/>
        <v>-440.2821428571429</v>
      </c>
      <c r="AB5" s="59">
        <f t="shared" si="6"/>
        <v>97.699266299901922</v>
      </c>
      <c r="AC5" s="59">
        <f t="shared" si="3"/>
        <v>873.48472328924379</v>
      </c>
      <c r="AD5" s="59">
        <f t="shared" si="7"/>
        <v>146326.51527671076</v>
      </c>
      <c r="AE5" s="59">
        <f t="shared" si="8"/>
        <v>147200</v>
      </c>
      <c r="AF5" s="71"/>
      <c r="AG5" s="38">
        <v>4</v>
      </c>
      <c r="AH5" s="78" t="s">
        <v>87</v>
      </c>
      <c r="AI5" s="71"/>
      <c r="AJ5" s="71"/>
    </row>
    <row r="6" spans="1:36" s="88" customFormat="1" ht="19.5" x14ac:dyDescent="0.35">
      <c r="A6" s="67"/>
      <c r="B6" s="68"/>
      <c r="C6" s="41"/>
      <c r="D6" s="38" t="s">
        <v>75</v>
      </c>
      <c r="E6" s="38" t="s">
        <v>73</v>
      </c>
      <c r="F6" s="79"/>
      <c r="G6" s="41"/>
      <c r="H6" s="42" t="s">
        <v>32</v>
      </c>
      <c r="I6" s="43" t="s">
        <v>4</v>
      </c>
      <c r="J6" s="43">
        <v>4</v>
      </c>
      <c r="K6" s="59">
        <v>14</v>
      </c>
      <c r="L6" s="59">
        <f t="shared" si="9"/>
        <v>176</v>
      </c>
      <c r="M6" s="59">
        <v>-0.8</v>
      </c>
      <c r="N6" s="59">
        <v>-1</v>
      </c>
      <c r="O6" s="59">
        <f t="shared" si="10"/>
        <v>15.600000000000001</v>
      </c>
      <c r="P6" s="59">
        <f t="shared" ref="P6:P23" si="15">DEGREES(ASIN(N6/K6))</f>
        <v>-4.0960437581523328</v>
      </c>
      <c r="Q6" s="59">
        <f t="shared" si="11"/>
        <v>-0.13675630870097022</v>
      </c>
      <c r="R6" s="59">
        <v>10</v>
      </c>
      <c r="S6" s="59">
        <f t="shared" si="12"/>
        <v>4.4702726866338844</v>
      </c>
      <c r="T6" s="59">
        <v>53.644799999999996</v>
      </c>
      <c r="U6" s="59">
        <f t="shared" si="13"/>
        <v>3.1318000000000001</v>
      </c>
      <c r="V6" s="59">
        <f t="shared" si="4"/>
        <v>15.067792857142857</v>
      </c>
      <c r="W6" s="59">
        <f t="shared" si="14"/>
        <v>-1.4273812780617805</v>
      </c>
      <c r="X6" s="59">
        <f t="shared" si="5"/>
        <v>7.6635428571428568</v>
      </c>
      <c r="Y6" s="59">
        <f t="shared" si="0"/>
        <v>6.9653522892612134</v>
      </c>
      <c r="Z6" s="59">
        <f t="shared" si="1"/>
        <v>510.12</v>
      </c>
      <c r="AA6" s="59">
        <f t="shared" si="2"/>
        <v>-455.46428571428567</v>
      </c>
      <c r="AB6" s="59">
        <f t="shared" si="6"/>
        <v>61.621066574975544</v>
      </c>
      <c r="AC6" s="59">
        <f t="shared" si="3"/>
        <v>275.46297083136136</v>
      </c>
      <c r="AD6" s="59">
        <f>147200-AC6</f>
        <v>146924.53702916863</v>
      </c>
      <c r="AE6" s="59">
        <f t="shared" si="8"/>
        <v>147200</v>
      </c>
      <c r="AF6" s="71"/>
      <c r="AG6" s="38">
        <v>5</v>
      </c>
      <c r="AH6" s="38" t="s">
        <v>95</v>
      </c>
      <c r="AI6" s="71"/>
      <c r="AJ6" s="71"/>
    </row>
    <row r="7" spans="1:36" s="88" customFormat="1" ht="18" x14ac:dyDescent="0.25">
      <c r="A7" s="69"/>
      <c r="B7" s="70"/>
      <c r="C7" s="41"/>
      <c r="D7" s="38" t="s">
        <v>79</v>
      </c>
      <c r="E7" s="40" t="s">
        <v>76</v>
      </c>
      <c r="F7" s="41"/>
      <c r="G7" s="41"/>
      <c r="H7" s="42" t="s">
        <v>33</v>
      </c>
      <c r="I7" s="43" t="s">
        <v>5</v>
      </c>
      <c r="J7" s="43">
        <v>5</v>
      </c>
      <c r="K7" s="59">
        <v>5</v>
      </c>
      <c r="L7" s="59">
        <f t="shared" si="9"/>
        <v>181</v>
      </c>
      <c r="M7" s="59">
        <v>-0.5</v>
      </c>
      <c r="N7" s="59">
        <v>-0.7</v>
      </c>
      <c r="O7" s="59">
        <f t="shared" si="10"/>
        <v>14.900000000000002</v>
      </c>
      <c r="P7" s="59">
        <f t="shared" si="15"/>
        <v>-8.0478462473115151</v>
      </c>
      <c r="Q7" s="59">
        <f t="shared" si="11"/>
        <v>-3.9518024891591823</v>
      </c>
      <c r="R7" s="59">
        <v>5</v>
      </c>
      <c r="S7" s="59">
        <f t="shared" si="12"/>
        <v>2.2351363433169422</v>
      </c>
      <c r="T7" s="59">
        <v>53.644799999999996</v>
      </c>
      <c r="U7" s="59">
        <f t="shared" si="13"/>
        <v>2.2370000000000001</v>
      </c>
      <c r="V7" s="59">
        <f t="shared" si="4"/>
        <v>17.304792857142857</v>
      </c>
      <c r="W7" s="59">
        <f t="shared" si="14"/>
        <v>-0.99916689464324637</v>
      </c>
      <c r="X7" s="59">
        <f t="shared" si="5"/>
        <v>7.6635428571428568</v>
      </c>
      <c r="Y7" s="59">
        <f t="shared" si="0"/>
        <v>1.7413380723153034</v>
      </c>
      <c r="Z7" s="59">
        <f t="shared" si="1"/>
        <v>510.12</v>
      </c>
      <c r="AA7" s="59">
        <f t="shared" si="2"/>
        <v>-892.70999999999992</v>
      </c>
      <c r="AB7" s="59">
        <f t="shared" si="6"/>
        <v>-380.84866192768459</v>
      </c>
      <c r="AC7" s="60">
        <f t="shared" si="3"/>
        <v>-851.24868557819525</v>
      </c>
      <c r="AD7" s="60">
        <f t="shared" si="7"/>
        <v>148051.2486855782</v>
      </c>
      <c r="AE7" s="59">
        <f t="shared" si="8"/>
        <v>147200</v>
      </c>
      <c r="AF7" s="71"/>
      <c r="AG7" s="38">
        <v>6</v>
      </c>
      <c r="AH7" s="78" t="s">
        <v>114</v>
      </c>
      <c r="AI7" s="71"/>
      <c r="AJ7" s="71"/>
    </row>
    <row r="8" spans="1:36" s="88" customFormat="1" ht="18" x14ac:dyDescent="0.25">
      <c r="A8" s="69"/>
      <c r="B8" s="70"/>
      <c r="C8" s="41"/>
      <c r="D8" s="38" t="s">
        <v>80</v>
      </c>
      <c r="E8" s="40" t="s">
        <v>77</v>
      </c>
      <c r="F8" s="41"/>
      <c r="G8" s="41"/>
      <c r="H8" s="49" t="s">
        <v>34</v>
      </c>
      <c r="I8" s="50" t="s">
        <v>6</v>
      </c>
      <c r="J8" s="50">
        <v>6</v>
      </c>
      <c r="K8" s="61">
        <v>6</v>
      </c>
      <c r="L8" s="61">
        <f t="shared" si="9"/>
        <v>187</v>
      </c>
      <c r="M8" s="61" t="s">
        <v>52</v>
      </c>
      <c r="N8" s="61">
        <v>-1.5</v>
      </c>
      <c r="O8" s="61">
        <f t="shared" si="10"/>
        <v>13.400000000000002</v>
      </c>
      <c r="P8" s="61">
        <f t="shared" si="15"/>
        <v>-14.477512185929925</v>
      </c>
      <c r="Q8" s="61">
        <f t="shared" si="11"/>
        <v>-6.4296659386184096</v>
      </c>
      <c r="R8" s="61">
        <v>2</v>
      </c>
      <c r="S8" s="61">
        <f t="shared" si="12"/>
        <v>0.89405453732677687</v>
      </c>
      <c r="T8" s="61">
        <v>53.644799999999996</v>
      </c>
      <c r="U8" s="61">
        <f t="shared" si="13"/>
        <v>6.7110000000000003</v>
      </c>
      <c r="V8" s="61">
        <f t="shared" si="4"/>
        <v>24.015792857142856</v>
      </c>
      <c r="W8" s="61">
        <f t="shared" si="14"/>
        <v>-0.19983337892864925</v>
      </c>
      <c r="X8" s="61">
        <f t="shared" si="5"/>
        <v>7.6635428571428568</v>
      </c>
      <c r="Y8" s="61">
        <f t="shared" si="0"/>
        <v>0.27861409157044853</v>
      </c>
      <c r="Z8" s="61">
        <f t="shared" si="1"/>
        <v>510.12</v>
      </c>
      <c r="AA8" s="61">
        <f t="shared" si="2"/>
        <v>-1594.125</v>
      </c>
      <c r="AB8" s="61">
        <f t="shared" si="6"/>
        <v>-1083.7263859084296</v>
      </c>
      <c r="AC8" s="62">
        <f t="shared" si="3"/>
        <v>-968.91049254218103</v>
      </c>
      <c r="AD8" s="62">
        <f t="shared" si="7"/>
        <v>148168.91049254217</v>
      </c>
      <c r="AE8" s="59">
        <f t="shared" si="8"/>
        <v>147200</v>
      </c>
      <c r="AF8" s="71"/>
      <c r="AG8" s="71"/>
      <c r="AH8" s="71"/>
      <c r="AI8" s="71"/>
      <c r="AJ8" s="71"/>
    </row>
    <row r="9" spans="1:36" s="88" customFormat="1" ht="18" x14ac:dyDescent="0.25">
      <c r="A9" s="69"/>
      <c r="B9" s="70"/>
      <c r="C9" s="41"/>
      <c r="D9" s="38" t="s">
        <v>81</v>
      </c>
      <c r="E9" s="40" t="s">
        <v>78</v>
      </c>
      <c r="F9" s="41"/>
      <c r="G9" s="41"/>
      <c r="H9" s="49" t="s">
        <v>35</v>
      </c>
      <c r="I9" s="50" t="s">
        <v>7</v>
      </c>
      <c r="J9" s="50">
        <v>7</v>
      </c>
      <c r="K9" s="61">
        <v>6</v>
      </c>
      <c r="L9" s="61">
        <f t="shared" si="9"/>
        <v>193</v>
      </c>
      <c r="M9" s="61" t="s">
        <v>53</v>
      </c>
      <c r="N9" s="61">
        <v>0</v>
      </c>
      <c r="O9" s="61">
        <f t="shared" si="10"/>
        <v>13.400000000000002</v>
      </c>
      <c r="P9" s="61">
        <f t="shared" si="15"/>
        <v>0</v>
      </c>
      <c r="Q9" s="61">
        <f t="shared" si="11"/>
        <v>14.477512185929925</v>
      </c>
      <c r="R9" s="61">
        <v>3</v>
      </c>
      <c r="S9" s="61">
        <f t="shared" si="12"/>
        <v>1.3410818059901652</v>
      </c>
      <c r="T9" s="61">
        <v>53.644799999999996</v>
      </c>
      <c r="U9" s="61">
        <f t="shared" si="13"/>
        <v>4.4740000000000002</v>
      </c>
      <c r="V9" s="61">
        <f t="shared" si="4"/>
        <v>28.489792857142856</v>
      </c>
      <c r="W9" s="61">
        <f t="shared" si="14"/>
        <v>9.9916689464324623E-2</v>
      </c>
      <c r="X9" s="61">
        <f t="shared" si="5"/>
        <v>7.6635428571428568</v>
      </c>
      <c r="Y9" s="61">
        <f t="shared" si="0"/>
        <v>0.62688170603350912</v>
      </c>
      <c r="Z9" s="61">
        <f t="shared" si="1"/>
        <v>510.12</v>
      </c>
      <c r="AA9" s="61">
        <f t="shared" si="2"/>
        <v>0</v>
      </c>
      <c r="AB9" s="61">
        <f t="shared" si="6"/>
        <v>510.74688170603349</v>
      </c>
      <c r="AC9" s="61">
        <f t="shared" si="3"/>
        <v>684.95335052217274</v>
      </c>
      <c r="AD9" s="61">
        <f t="shared" si="7"/>
        <v>146515.04664947782</v>
      </c>
      <c r="AE9" s="59">
        <f t="shared" si="8"/>
        <v>147200</v>
      </c>
      <c r="AF9" s="71"/>
      <c r="AG9" s="71"/>
      <c r="AH9" s="71"/>
      <c r="AI9" s="71"/>
      <c r="AJ9" s="71"/>
    </row>
    <row r="10" spans="1:36" s="88" customFormat="1" ht="18" x14ac:dyDescent="0.25">
      <c r="A10" s="69"/>
      <c r="B10" s="70"/>
      <c r="C10" s="41"/>
      <c r="D10" s="38" t="s">
        <v>82</v>
      </c>
      <c r="E10" s="40" t="s">
        <v>85</v>
      </c>
      <c r="F10" s="41"/>
      <c r="G10" s="41"/>
      <c r="H10" s="42" t="s">
        <v>36</v>
      </c>
      <c r="I10" s="43" t="s">
        <v>8</v>
      </c>
      <c r="J10" s="43">
        <v>8</v>
      </c>
      <c r="K10" s="59">
        <v>69</v>
      </c>
      <c r="L10" s="59">
        <f t="shared" si="9"/>
        <v>262</v>
      </c>
      <c r="M10" s="59">
        <v>-8.8000000000000007</v>
      </c>
      <c r="N10" s="59">
        <v>-9</v>
      </c>
      <c r="O10" s="59">
        <f t="shared" si="10"/>
        <v>4.4000000000000021</v>
      </c>
      <c r="P10" s="59">
        <f t="shared" si="15"/>
        <v>-7.4947174539266861</v>
      </c>
      <c r="Q10" s="59">
        <f t="shared" si="11"/>
        <v>-7.4947174539266861</v>
      </c>
      <c r="R10" s="59">
        <v>30</v>
      </c>
      <c r="S10" s="59">
        <f t="shared" si="12"/>
        <v>13.410818059901654</v>
      </c>
      <c r="T10" s="59">
        <v>53.644799999999996</v>
      </c>
      <c r="U10" s="59">
        <f t="shared" si="13"/>
        <v>5.1451000000000002</v>
      </c>
      <c r="V10" s="59">
        <f t="shared" si="4"/>
        <v>33.634892857142859</v>
      </c>
      <c r="W10" s="59">
        <f t="shared" si="14"/>
        <v>2.3458701004667528</v>
      </c>
      <c r="X10" s="59">
        <f t="shared" si="5"/>
        <v>7.6635428571428568</v>
      </c>
      <c r="Y10" s="59">
        <f t="shared" si="0"/>
        <v>62.688170603350926</v>
      </c>
      <c r="Z10" s="59">
        <f t="shared" si="1"/>
        <v>510.12</v>
      </c>
      <c r="AA10" s="59">
        <f t="shared" si="2"/>
        <v>-831.71739130434776</v>
      </c>
      <c r="AB10" s="59">
        <f t="shared" si="6"/>
        <v>-258.9092207009968</v>
      </c>
      <c r="AC10" s="60">
        <f t="shared" si="3"/>
        <v>-3472.184452851991</v>
      </c>
      <c r="AD10" s="60">
        <f>147200-AC10</f>
        <v>150672.184452852</v>
      </c>
      <c r="AE10" s="59">
        <f t="shared" si="8"/>
        <v>147200</v>
      </c>
      <c r="AF10" s="71"/>
      <c r="AG10" s="71"/>
      <c r="AH10" s="71"/>
      <c r="AI10" s="71"/>
      <c r="AJ10" s="71"/>
    </row>
    <row r="11" spans="1:36" s="88" customFormat="1" ht="18" x14ac:dyDescent="0.25">
      <c r="A11" s="69"/>
      <c r="B11" s="70"/>
      <c r="C11" s="41"/>
      <c r="D11" s="38" t="s">
        <v>83</v>
      </c>
      <c r="E11" s="40" t="s">
        <v>84</v>
      </c>
      <c r="F11" s="41"/>
      <c r="G11" s="41"/>
      <c r="H11" s="42" t="s">
        <v>37</v>
      </c>
      <c r="I11" s="43" t="s">
        <v>9</v>
      </c>
      <c r="J11" s="43">
        <v>9</v>
      </c>
      <c r="K11" s="59">
        <v>25</v>
      </c>
      <c r="L11" s="59">
        <f t="shared" si="9"/>
        <v>287</v>
      </c>
      <c r="M11" s="59">
        <v>-3</v>
      </c>
      <c r="N11" s="59">
        <v>-3.2</v>
      </c>
      <c r="O11" s="59">
        <f t="shared" si="10"/>
        <v>1.200000000000002</v>
      </c>
      <c r="P11" s="59">
        <f t="shared" si="15"/>
        <v>-7.3540352103988331</v>
      </c>
      <c r="Q11" s="59">
        <f t="shared" si="11"/>
        <v>0.14068224352785297</v>
      </c>
      <c r="R11" s="59">
        <v>20</v>
      </c>
      <c r="S11" s="59">
        <f t="shared" si="12"/>
        <v>8.9405453732677689</v>
      </c>
      <c r="T11" s="59">
        <v>53.644799999999996</v>
      </c>
      <c r="U11" s="59">
        <f t="shared" si="13"/>
        <v>2.7962500000000001</v>
      </c>
      <c r="V11" s="59">
        <f t="shared" si="4"/>
        <v>36.431142857142859</v>
      </c>
      <c r="W11" s="59">
        <f t="shared" si="14"/>
        <v>-1.5986670314291944</v>
      </c>
      <c r="X11" s="59">
        <f t="shared" si="5"/>
        <v>7.6635428571428568</v>
      </c>
      <c r="Y11" s="59">
        <f t="shared" si="0"/>
        <v>27.861409157044854</v>
      </c>
      <c r="Z11" s="59">
        <f t="shared" si="1"/>
        <v>510.12</v>
      </c>
      <c r="AA11" s="59">
        <f t="shared" si="2"/>
        <v>-816.19200000000001</v>
      </c>
      <c r="AB11" s="59">
        <f t="shared" si="6"/>
        <v>-278.21059084295518</v>
      </c>
      <c r="AC11" s="60">
        <f t="shared" si="3"/>
        <v>-2487.3544107550752</v>
      </c>
      <c r="AD11" s="60">
        <f t="shared" si="7"/>
        <v>149687.35441075507</v>
      </c>
      <c r="AE11" s="59">
        <f t="shared" si="8"/>
        <v>147200</v>
      </c>
      <c r="AF11" s="71"/>
      <c r="AG11" s="71"/>
      <c r="AH11" s="71"/>
      <c r="AI11" s="71"/>
      <c r="AJ11" s="71"/>
    </row>
    <row r="12" spans="1:36" s="88" customFormat="1" ht="18" x14ac:dyDescent="0.25">
      <c r="A12" s="69"/>
      <c r="B12" s="70"/>
      <c r="C12" s="41"/>
      <c r="D12" s="38" t="s">
        <v>149</v>
      </c>
      <c r="E12" s="51">
        <v>1.6597999999999999</v>
      </c>
      <c r="F12" s="80"/>
      <c r="G12" s="41"/>
      <c r="H12" s="42" t="s">
        <v>39</v>
      </c>
      <c r="I12" s="43" t="s">
        <v>10</v>
      </c>
      <c r="J12" s="43">
        <v>10</v>
      </c>
      <c r="K12" s="59">
        <v>20</v>
      </c>
      <c r="L12" s="59">
        <f t="shared" si="9"/>
        <v>307</v>
      </c>
      <c r="M12" s="59" t="s">
        <v>54</v>
      </c>
      <c r="N12" s="59">
        <v>0</v>
      </c>
      <c r="O12" s="59">
        <f t="shared" si="10"/>
        <v>1.200000000000002</v>
      </c>
      <c r="P12" s="59">
        <f t="shared" si="15"/>
        <v>0</v>
      </c>
      <c r="Q12" s="59">
        <f t="shared" si="11"/>
        <v>7.3540352103988331</v>
      </c>
      <c r="R12" s="59">
        <v>15</v>
      </c>
      <c r="S12" s="59">
        <f t="shared" si="12"/>
        <v>6.7054090299508271</v>
      </c>
      <c r="T12" s="59">
        <v>53.644799999999996</v>
      </c>
      <c r="U12" s="59">
        <f t="shared" si="13"/>
        <v>2.9826666666666668</v>
      </c>
      <c r="V12" s="59">
        <f t="shared" si="4"/>
        <v>39.413809523809526</v>
      </c>
      <c r="W12" s="59">
        <f t="shared" si="14"/>
        <v>-0.74937517098243467</v>
      </c>
      <c r="X12" s="59">
        <f t="shared" si="5"/>
        <v>7.6635428571428568</v>
      </c>
      <c r="Y12" s="59">
        <f t="shared" si="0"/>
        <v>15.672042650837732</v>
      </c>
      <c r="Z12" s="59">
        <f t="shared" si="1"/>
        <v>510.12</v>
      </c>
      <c r="AA12" s="59">
        <f t="shared" si="2"/>
        <v>0</v>
      </c>
      <c r="AB12" s="59">
        <f t="shared" si="6"/>
        <v>525.79204265083774</v>
      </c>
      <c r="AC12" s="59">
        <f t="shared" si="3"/>
        <v>3525.6507106672179</v>
      </c>
      <c r="AD12" s="59">
        <f t="shared" si="7"/>
        <v>143674.34928933278</v>
      </c>
      <c r="AE12" s="59">
        <f t="shared" si="8"/>
        <v>147200</v>
      </c>
      <c r="AF12" s="71"/>
      <c r="AG12" s="71"/>
      <c r="AH12" s="71"/>
      <c r="AI12" s="71"/>
      <c r="AJ12" s="71"/>
    </row>
    <row r="13" spans="1:36" s="88" customFormat="1" ht="18" x14ac:dyDescent="0.25">
      <c r="A13" s="69"/>
      <c r="B13" s="70"/>
      <c r="C13" s="41"/>
      <c r="D13" s="38" t="s">
        <v>90</v>
      </c>
      <c r="E13" s="52">
        <v>0.35</v>
      </c>
      <c r="F13" s="81"/>
      <c r="G13" s="41"/>
      <c r="H13" s="42" t="s">
        <v>38</v>
      </c>
      <c r="I13" s="43" t="s">
        <v>11</v>
      </c>
      <c r="J13" s="43">
        <v>11</v>
      </c>
      <c r="K13" s="59">
        <v>53</v>
      </c>
      <c r="L13" s="59">
        <f t="shared" si="9"/>
        <v>360</v>
      </c>
      <c r="M13" s="59">
        <v>6.8</v>
      </c>
      <c r="N13" s="59">
        <v>6.8</v>
      </c>
      <c r="O13" s="59">
        <f t="shared" si="10"/>
        <v>8.0000000000000018</v>
      </c>
      <c r="P13" s="59">
        <f t="shared" si="15"/>
        <v>7.3714758533336164</v>
      </c>
      <c r="Q13" s="59">
        <f t="shared" si="11"/>
        <v>7.3714758533336164</v>
      </c>
      <c r="R13" s="59">
        <v>40</v>
      </c>
      <c r="S13" s="59">
        <f t="shared" si="12"/>
        <v>17.881090746535538</v>
      </c>
      <c r="T13" s="59">
        <v>53.644799999999996</v>
      </c>
      <c r="U13" s="59">
        <f t="shared" si="13"/>
        <v>2.9640250000000004</v>
      </c>
      <c r="V13" s="59">
        <f t="shared" si="4"/>
        <v>42.377834523809526</v>
      </c>
      <c r="W13" s="59">
        <f t="shared" si="14"/>
        <v>3.7704411118613068</v>
      </c>
      <c r="X13" s="59">
        <f t="shared" si="5"/>
        <v>7.6635428571428568</v>
      </c>
      <c r="Y13" s="59">
        <f t="shared" si="0"/>
        <v>111.44563662817941</v>
      </c>
      <c r="Z13" s="59">
        <f t="shared" si="1"/>
        <v>510.12</v>
      </c>
      <c r="AA13" s="59">
        <f t="shared" si="2"/>
        <v>818.11698113207524</v>
      </c>
      <c r="AB13" s="59">
        <f t="shared" si="6"/>
        <v>1439.6826177602547</v>
      </c>
      <c r="AC13" s="59">
        <f t="shared" si="3"/>
        <v>25743.095534380951</v>
      </c>
      <c r="AD13" s="59">
        <f t="shared" si="7"/>
        <v>121456.90446561905</v>
      </c>
      <c r="AE13" s="59">
        <f t="shared" si="8"/>
        <v>147200</v>
      </c>
      <c r="AF13" s="71"/>
      <c r="AG13" s="71"/>
      <c r="AH13" s="71"/>
      <c r="AI13" s="71"/>
      <c r="AJ13" s="71"/>
    </row>
    <row r="14" spans="1:36" s="88" customFormat="1" ht="18" x14ac:dyDescent="0.25">
      <c r="A14" s="69"/>
      <c r="B14" s="70"/>
      <c r="C14" s="41"/>
      <c r="D14" s="38" t="s">
        <v>125</v>
      </c>
      <c r="E14" s="40" t="s">
        <v>126</v>
      </c>
      <c r="F14" s="41"/>
      <c r="G14" s="45"/>
      <c r="H14" s="42" t="s">
        <v>40</v>
      </c>
      <c r="I14" s="43" t="s">
        <v>12</v>
      </c>
      <c r="J14" s="43">
        <v>12</v>
      </c>
      <c r="K14" s="59">
        <v>12</v>
      </c>
      <c r="L14" s="59">
        <f t="shared" si="9"/>
        <v>372</v>
      </c>
      <c r="M14" s="59">
        <v>1.4</v>
      </c>
      <c r="N14" s="59">
        <v>1.4</v>
      </c>
      <c r="O14" s="59">
        <f t="shared" si="10"/>
        <v>9.4000000000000021</v>
      </c>
      <c r="P14" s="59">
        <f t="shared" si="15"/>
        <v>6.6997651777601872</v>
      </c>
      <c r="Q14" s="59">
        <f t="shared" si="11"/>
        <v>-0.67171067557342923</v>
      </c>
      <c r="R14" s="59">
        <v>35</v>
      </c>
      <c r="S14" s="59">
        <f t="shared" si="12"/>
        <v>15.645954403218596</v>
      </c>
      <c r="T14" s="59">
        <v>53.644799999999996</v>
      </c>
      <c r="U14" s="59">
        <f t="shared" si="13"/>
        <v>0.76697142857142864</v>
      </c>
      <c r="V14" s="59">
        <f t="shared" si="4"/>
        <v>43.144805952380956</v>
      </c>
      <c r="W14" s="59">
        <f t="shared" si="14"/>
        <v>-2.9142367760428014</v>
      </c>
      <c r="X14" s="59">
        <f t="shared" si="5"/>
        <v>7.6635428571428568</v>
      </c>
      <c r="Y14" s="59">
        <f t="shared" si="0"/>
        <v>85.325565543449869</v>
      </c>
      <c r="Z14" s="59">
        <f t="shared" si="1"/>
        <v>510.12</v>
      </c>
      <c r="AA14" s="59">
        <f t="shared" si="2"/>
        <v>743.92500000000007</v>
      </c>
      <c r="AB14" s="59">
        <f t="shared" si="6"/>
        <v>1339.3705655434501</v>
      </c>
      <c r="AC14" s="59">
        <f t="shared" si="3"/>
        <v>20955.730797505923</v>
      </c>
      <c r="AD14" s="59">
        <f t="shared" si="7"/>
        <v>126244.26920249408</v>
      </c>
      <c r="AE14" s="59">
        <f t="shared" si="8"/>
        <v>147200</v>
      </c>
      <c r="AF14" s="71"/>
      <c r="AG14" s="71"/>
      <c r="AH14" s="71"/>
      <c r="AI14" s="71"/>
      <c r="AJ14" s="71"/>
    </row>
    <row r="15" spans="1:36" s="88" customFormat="1" ht="18" x14ac:dyDescent="0.25">
      <c r="A15" s="71"/>
      <c r="B15" s="72"/>
      <c r="C15" s="41"/>
      <c r="D15" s="38" t="s">
        <v>127</v>
      </c>
      <c r="E15" s="40" t="s">
        <v>128</v>
      </c>
      <c r="F15" s="41"/>
      <c r="G15" s="45"/>
      <c r="H15" s="53" t="s">
        <v>41</v>
      </c>
      <c r="I15" s="54" t="s">
        <v>13</v>
      </c>
      <c r="J15" s="54">
        <v>13</v>
      </c>
      <c r="K15" s="63">
        <v>5</v>
      </c>
      <c r="L15" s="63">
        <f t="shared" si="9"/>
        <v>377</v>
      </c>
      <c r="M15" s="63" t="s">
        <v>55</v>
      </c>
      <c r="N15" s="63">
        <v>0.8</v>
      </c>
      <c r="O15" s="63">
        <f t="shared" si="10"/>
        <v>10.200000000000003</v>
      </c>
      <c r="P15" s="63">
        <f t="shared" si="15"/>
        <v>9.2068962213459002</v>
      </c>
      <c r="Q15" s="63">
        <f t="shared" si="11"/>
        <v>2.507131043585713</v>
      </c>
      <c r="R15" s="64">
        <v>35</v>
      </c>
      <c r="S15" s="63">
        <f t="shared" si="12"/>
        <v>15.645954403218596</v>
      </c>
      <c r="T15" s="63">
        <v>53.644799999999996</v>
      </c>
      <c r="U15" s="63">
        <f t="shared" si="13"/>
        <v>0.31957142857142856</v>
      </c>
      <c r="V15" s="63">
        <f t="shared" si="4"/>
        <v>43.464377380952385</v>
      </c>
      <c r="W15" s="63">
        <f t="shared" si="14"/>
        <v>0</v>
      </c>
      <c r="X15" s="63">
        <f t="shared" si="5"/>
        <v>7.6635428571428568</v>
      </c>
      <c r="Y15" s="63">
        <f t="shared" si="0"/>
        <v>85.325565543449869</v>
      </c>
      <c r="Z15" s="63">
        <v>0</v>
      </c>
      <c r="AA15" s="63">
        <f t="shared" si="2"/>
        <v>1020.24</v>
      </c>
      <c r="AB15" s="63">
        <f t="shared" si="6"/>
        <v>1105.5655655434498</v>
      </c>
      <c r="AC15" s="63">
        <f t="shared" si="3"/>
        <v>17297.628428261396</v>
      </c>
      <c r="AD15" s="63">
        <f t="shared" si="7"/>
        <v>129902.37157173861</v>
      </c>
      <c r="AE15" s="59">
        <f t="shared" si="8"/>
        <v>147200</v>
      </c>
      <c r="AF15" s="71"/>
      <c r="AG15" s="71"/>
      <c r="AH15" s="71"/>
      <c r="AI15" s="71"/>
      <c r="AJ15" s="71"/>
    </row>
    <row r="16" spans="1:36" s="88" customFormat="1" ht="18" x14ac:dyDescent="0.25">
      <c r="A16" s="71"/>
      <c r="B16" s="72"/>
      <c r="C16" s="41"/>
      <c r="D16" s="38" t="s">
        <v>129</v>
      </c>
      <c r="E16" s="40" t="s">
        <v>130</v>
      </c>
      <c r="F16" s="41"/>
      <c r="G16" s="45"/>
      <c r="H16" s="53" t="s">
        <v>42</v>
      </c>
      <c r="I16" s="54" t="s">
        <v>14</v>
      </c>
      <c r="J16" s="54">
        <v>14</v>
      </c>
      <c r="K16" s="63">
        <v>6</v>
      </c>
      <c r="L16" s="63">
        <f t="shared" si="9"/>
        <v>383</v>
      </c>
      <c r="M16" s="63">
        <v>0.4</v>
      </c>
      <c r="N16" s="63">
        <v>0.4</v>
      </c>
      <c r="O16" s="63">
        <f t="shared" si="10"/>
        <v>10.600000000000003</v>
      </c>
      <c r="P16" s="63">
        <f t="shared" si="15"/>
        <v>3.8225537292743441</v>
      </c>
      <c r="Q16" s="63">
        <f t="shared" si="11"/>
        <v>-5.3843424920715561</v>
      </c>
      <c r="R16" s="64">
        <v>35</v>
      </c>
      <c r="S16" s="63">
        <f t="shared" si="12"/>
        <v>15.645954403218596</v>
      </c>
      <c r="T16" s="63">
        <v>53.644799999999996</v>
      </c>
      <c r="U16" s="63">
        <f t="shared" si="13"/>
        <v>0.38348571428571432</v>
      </c>
      <c r="V16" s="63">
        <f t="shared" si="4"/>
        <v>43.847863095238097</v>
      </c>
      <c r="W16" s="63">
        <f t="shared" si="14"/>
        <v>0</v>
      </c>
      <c r="X16" s="63">
        <f t="shared" si="5"/>
        <v>7.6635428571428568</v>
      </c>
      <c r="Y16" s="63">
        <f t="shared" si="0"/>
        <v>85.325565543449869</v>
      </c>
      <c r="Z16" s="63">
        <v>0</v>
      </c>
      <c r="AA16" s="63">
        <f t="shared" si="2"/>
        <v>425.09999999999997</v>
      </c>
      <c r="AB16" s="63">
        <f t="shared" si="6"/>
        <v>510.42556554344981</v>
      </c>
      <c r="AC16" s="63">
        <f t="shared" si="3"/>
        <v>7986.0951247298808</v>
      </c>
      <c r="AD16" s="63">
        <f t="shared" si="7"/>
        <v>139213.90487527012</v>
      </c>
      <c r="AE16" s="59">
        <f t="shared" si="8"/>
        <v>147200</v>
      </c>
      <c r="AF16" s="71"/>
      <c r="AG16" s="71"/>
      <c r="AH16" s="71"/>
      <c r="AI16" s="71"/>
      <c r="AJ16" s="71"/>
    </row>
    <row r="17" spans="1:36" s="88" customFormat="1" ht="18" x14ac:dyDescent="0.25">
      <c r="A17" s="71"/>
      <c r="B17" s="72"/>
      <c r="C17" s="41"/>
      <c r="D17" s="38" t="s">
        <v>133</v>
      </c>
      <c r="E17" s="52" t="s">
        <v>132</v>
      </c>
      <c r="F17" s="81"/>
      <c r="G17" s="41"/>
      <c r="H17" s="42" t="s">
        <v>38</v>
      </c>
      <c r="I17" s="43" t="s">
        <v>15</v>
      </c>
      <c r="J17" s="43">
        <v>15</v>
      </c>
      <c r="K17" s="59">
        <v>50</v>
      </c>
      <c r="L17" s="59">
        <f t="shared" si="9"/>
        <v>433</v>
      </c>
      <c r="M17" s="59">
        <v>6</v>
      </c>
      <c r="N17" s="59">
        <v>6</v>
      </c>
      <c r="O17" s="59">
        <f t="shared" si="10"/>
        <v>16.600000000000001</v>
      </c>
      <c r="P17" s="59">
        <f t="shared" si="15"/>
        <v>6.8921025793463802</v>
      </c>
      <c r="Q17" s="59">
        <f t="shared" si="11"/>
        <v>3.069548850072036</v>
      </c>
      <c r="R17" s="59">
        <v>40</v>
      </c>
      <c r="S17" s="59">
        <f t="shared" si="12"/>
        <v>17.881090746535538</v>
      </c>
      <c r="T17" s="59">
        <v>53.644799999999996</v>
      </c>
      <c r="U17" s="59">
        <f t="shared" si="13"/>
        <v>2.7962500000000001</v>
      </c>
      <c r="V17" s="59">
        <f t="shared" si="4"/>
        <v>46.644113095238097</v>
      </c>
      <c r="W17" s="59">
        <f t="shared" si="14"/>
        <v>0.79933351571459699</v>
      </c>
      <c r="X17" s="59">
        <f t="shared" si="5"/>
        <v>7.6635428571428568</v>
      </c>
      <c r="Y17" s="59">
        <f t="shared" si="0"/>
        <v>111.44563662817941</v>
      </c>
      <c r="Z17" s="59">
        <f>$E$5*$B$5*$B$4</f>
        <v>510.12</v>
      </c>
      <c r="AA17" s="59">
        <f t="shared" si="2"/>
        <v>765.18</v>
      </c>
      <c r="AB17" s="59">
        <f t="shared" si="6"/>
        <v>1386.7456366281795</v>
      </c>
      <c r="AC17" s="59">
        <f t="shared" si="3"/>
        <v>24796.524570910671</v>
      </c>
      <c r="AD17" s="59">
        <f t="shared" si="7"/>
        <v>122403.47542908933</v>
      </c>
      <c r="AE17" s="59">
        <f t="shared" si="8"/>
        <v>147200</v>
      </c>
      <c r="AF17" s="71"/>
      <c r="AG17" s="71"/>
      <c r="AH17" s="71"/>
      <c r="AI17" s="71"/>
      <c r="AJ17" s="71"/>
    </row>
    <row r="18" spans="1:36" s="88" customFormat="1" ht="18" x14ac:dyDescent="0.25">
      <c r="A18" s="71"/>
      <c r="B18" s="72"/>
      <c r="C18" s="41"/>
      <c r="D18" s="38" t="s">
        <v>65</v>
      </c>
      <c r="E18" s="40" t="s">
        <v>131</v>
      </c>
      <c r="F18" s="41"/>
      <c r="G18" s="41"/>
      <c r="H18" s="42" t="s">
        <v>43</v>
      </c>
      <c r="I18" s="43" t="s">
        <v>16</v>
      </c>
      <c r="J18" s="43">
        <v>16</v>
      </c>
      <c r="K18" s="59">
        <v>46</v>
      </c>
      <c r="L18" s="59">
        <f t="shared" si="9"/>
        <v>479</v>
      </c>
      <c r="M18" s="59" t="s">
        <v>56</v>
      </c>
      <c r="N18" s="59">
        <v>-1.6</v>
      </c>
      <c r="O18" s="59">
        <f t="shared" si="10"/>
        <v>15.000000000000002</v>
      </c>
      <c r="P18" s="59">
        <f t="shared" si="15"/>
        <v>-1.9932987419679011</v>
      </c>
      <c r="Q18" s="59">
        <f t="shared" si="11"/>
        <v>-8.8854013213142817</v>
      </c>
      <c r="R18" s="59">
        <v>20</v>
      </c>
      <c r="S18" s="59">
        <f t="shared" si="12"/>
        <v>8.9405453732677689</v>
      </c>
      <c r="T18" s="59">
        <v>53.644799999999996</v>
      </c>
      <c r="U18" s="59">
        <f t="shared" si="13"/>
        <v>5.1451000000000002</v>
      </c>
      <c r="V18" s="59">
        <f t="shared" si="4"/>
        <v>51.789213095238097</v>
      </c>
      <c r="W18" s="59">
        <f t="shared" si="14"/>
        <v>-1.7376815559012981</v>
      </c>
      <c r="X18" s="59">
        <f t="shared" si="5"/>
        <v>7.6635428571428568</v>
      </c>
      <c r="Y18" s="59">
        <f t="shared" si="0"/>
        <v>27.861409157044854</v>
      </c>
      <c r="Z18" s="59">
        <f>$E$5*$B$5*$B$4</f>
        <v>510.12</v>
      </c>
      <c r="AA18" s="59">
        <f t="shared" si="2"/>
        <v>-221.7913043478261</v>
      </c>
      <c r="AB18" s="59">
        <f t="shared" si="6"/>
        <v>316.19010480921872</v>
      </c>
      <c r="AC18" s="59">
        <f t="shared" si="3"/>
        <v>2826.9119786251113</v>
      </c>
      <c r="AD18" s="59">
        <f t="shared" si="7"/>
        <v>144373.08802137489</v>
      </c>
      <c r="AE18" s="59">
        <f t="shared" si="8"/>
        <v>147200</v>
      </c>
      <c r="AF18" s="71"/>
      <c r="AG18" s="71"/>
      <c r="AH18" s="71"/>
      <c r="AI18" s="71"/>
      <c r="AJ18" s="71"/>
    </row>
    <row r="19" spans="1:36" s="88" customFormat="1" ht="18" x14ac:dyDescent="0.25">
      <c r="A19" s="71"/>
      <c r="B19" s="72"/>
      <c r="C19" s="41"/>
      <c r="D19" s="38" t="s">
        <v>66</v>
      </c>
      <c r="E19" s="44" t="s">
        <v>152</v>
      </c>
      <c r="F19" s="45"/>
      <c r="G19" s="41"/>
      <c r="H19" s="42" t="s">
        <v>32</v>
      </c>
      <c r="I19" s="43" t="s">
        <v>17</v>
      </c>
      <c r="J19" s="43">
        <v>17</v>
      </c>
      <c r="K19" s="59">
        <v>25</v>
      </c>
      <c r="L19" s="59">
        <f t="shared" si="9"/>
        <v>504</v>
      </c>
      <c r="M19" s="59">
        <v>-2.2000000000000002</v>
      </c>
      <c r="N19" s="59">
        <v>-2.4</v>
      </c>
      <c r="O19" s="59">
        <f t="shared" si="10"/>
        <v>12.600000000000001</v>
      </c>
      <c r="P19" s="59">
        <f t="shared" si="15"/>
        <v>-5.5088786712030746</v>
      </c>
      <c r="Q19" s="59">
        <f t="shared" si="11"/>
        <v>-3.5155799292351735</v>
      </c>
      <c r="R19" s="59">
        <v>25</v>
      </c>
      <c r="S19" s="59">
        <f t="shared" si="12"/>
        <v>11.175681716584711</v>
      </c>
      <c r="T19" s="59">
        <v>53.644799999999996</v>
      </c>
      <c r="U19" s="59">
        <f t="shared" si="13"/>
        <v>2.2370000000000001</v>
      </c>
      <c r="V19" s="59">
        <f t="shared" si="4"/>
        <v>54.026213095238099</v>
      </c>
      <c r="W19" s="59">
        <f t="shared" si="14"/>
        <v>0.99916689464324615</v>
      </c>
      <c r="X19" s="59">
        <f t="shared" si="5"/>
        <v>7.6635428571428568</v>
      </c>
      <c r="Y19" s="59">
        <f t="shared" si="0"/>
        <v>43.533451807882578</v>
      </c>
      <c r="Z19" s="59">
        <f>$E$5*$B$5*$B$4</f>
        <v>510.12</v>
      </c>
      <c r="AA19" s="59">
        <f t="shared" si="2"/>
        <v>-612.14400000000001</v>
      </c>
      <c r="AB19" s="59">
        <f t="shared" si="6"/>
        <v>-58.490548192117444</v>
      </c>
      <c r="AC19" s="60">
        <f t="shared" si="3"/>
        <v>-653.67175002366378</v>
      </c>
      <c r="AD19" s="60">
        <f t="shared" si="7"/>
        <v>147853.67175002367</v>
      </c>
      <c r="AE19" s="59">
        <f t="shared" si="8"/>
        <v>147200</v>
      </c>
      <c r="AF19" s="71"/>
      <c r="AG19" s="71"/>
      <c r="AH19" s="71"/>
      <c r="AI19" s="71"/>
      <c r="AJ19" s="71"/>
    </row>
    <row r="20" spans="1:36" s="88" customFormat="1" ht="18" x14ac:dyDescent="0.25">
      <c r="A20" s="71"/>
      <c r="B20" s="72"/>
      <c r="C20" s="41"/>
      <c r="D20" s="38" t="s">
        <v>93</v>
      </c>
      <c r="E20" s="44" t="s">
        <v>92</v>
      </c>
      <c r="F20" s="45"/>
      <c r="G20" s="41"/>
      <c r="H20" s="42" t="s">
        <v>44</v>
      </c>
      <c r="I20" s="43" t="s">
        <v>18</v>
      </c>
      <c r="J20" s="43">
        <v>18</v>
      </c>
      <c r="K20" s="59">
        <v>40</v>
      </c>
      <c r="L20" s="59">
        <f t="shared" si="9"/>
        <v>544</v>
      </c>
      <c r="M20" s="59">
        <v>-5.0999999999999996</v>
      </c>
      <c r="N20" s="59">
        <v>-5.3</v>
      </c>
      <c r="O20" s="59">
        <f t="shared" si="10"/>
        <v>7.3000000000000016</v>
      </c>
      <c r="P20" s="59">
        <f t="shared" si="15"/>
        <v>-7.6140817395938853</v>
      </c>
      <c r="Q20" s="59">
        <f t="shared" si="11"/>
        <v>-2.1052030683908107</v>
      </c>
      <c r="R20" s="59">
        <v>35</v>
      </c>
      <c r="S20" s="59">
        <f t="shared" si="12"/>
        <v>15.645954403218596</v>
      </c>
      <c r="T20" s="59">
        <v>53.644799999999996</v>
      </c>
      <c r="U20" s="59">
        <f t="shared" si="13"/>
        <v>2.5565714285714285</v>
      </c>
      <c r="V20" s="59">
        <f t="shared" si="4"/>
        <v>56.582784523809529</v>
      </c>
      <c r="W20" s="59">
        <f t="shared" si="14"/>
        <v>1.7485420656256816</v>
      </c>
      <c r="X20" s="59">
        <f t="shared" si="5"/>
        <v>7.6635428571428568</v>
      </c>
      <c r="Y20" s="59">
        <f t="shared" si="0"/>
        <v>85.325565543449869</v>
      </c>
      <c r="Z20" s="59">
        <f>$E$5*$B$5*$B$4</f>
        <v>510.12</v>
      </c>
      <c r="AA20" s="59">
        <f t="shared" si="2"/>
        <v>-844.88625000000002</v>
      </c>
      <c r="AB20" s="59">
        <f t="shared" si="6"/>
        <v>-249.44068445655012</v>
      </c>
      <c r="AC20" s="60">
        <f t="shared" si="3"/>
        <v>-3902.7375753148208</v>
      </c>
      <c r="AD20" s="60">
        <f t="shared" si="7"/>
        <v>151102.73757531482</v>
      </c>
      <c r="AE20" s="59">
        <f t="shared" si="8"/>
        <v>147200</v>
      </c>
      <c r="AF20" s="71"/>
      <c r="AG20" s="71"/>
      <c r="AH20" s="71"/>
      <c r="AI20" s="71"/>
      <c r="AJ20" s="71"/>
    </row>
    <row r="21" spans="1:36" s="88" customFormat="1" ht="18" x14ac:dyDescent="0.25">
      <c r="A21" s="71"/>
      <c r="B21" s="72"/>
      <c r="C21" s="41"/>
      <c r="D21" s="41" t="s">
        <v>153</v>
      </c>
      <c r="E21" s="55" t="s">
        <v>150</v>
      </c>
      <c r="F21" s="41"/>
      <c r="G21" s="41"/>
      <c r="H21" s="42" t="s">
        <v>45</v>
      </c>
      <c r="I21" s="43" t="s">
        <v>19</v>
      </c>
      <c r="J21" s="43">
        <v>19</v>
      </c>
      <c r="K21" s="59">
        <v>10</v>
      </c>
      <c r="L21" s="59">
        <f t="shared" si="9"/>
        <v>554</v>
      </c>
      <c r="M21" s="59">
        <v>-1.2</v>
      </c>
      <c r="N21" s="59">
        <v>-1.4</v>
      </c>
      <c r="O21" s="59">
        <f t="shared" si="10"/>
        <v>5.9000000000000021</v>
      </c>
      <c r="P21" s="59">
        <f t="shared" si="15"/>
        <v>-8.0478462473115151</v>
      </c>
      <c r="Q21" s="59">
        <f t="shared" si="11"/>
        <v>-0.43376450771762975</v>
      </c>
      <c r="R21" s="59">
        <v>40</v>
      </c>
      <c r="S21" s="59">
        <f t="shared" si="12"/>
        <v>17.881090746535538</v>
      </c>
      <c r="T21" s="59">
        <v>53.644799999999996</v>
      </c>
      <c r="U21" s="59">
        <f t="shared" si="13"/>
        <v>0.55925000000000002</v>
      </c>
      <c r="V21" s="59">
        <f t="shared" si="4"/>
        <v>57.142034523809528</v>
      </c>
      <c r="W21" s="59">
        <f t="shared" si="14"/>
        <v>3.9966675785729846</v>
      </c>
      <c r="X21" s="59">
        <f t="shared" si="5"/>
        <v>7.6635428571428568</v>
      </c>
      <c r="Y21" s="59">
        <f t="shared" si="0"/>
        <v>111.44563662817941</v>
      </c>
      <c r="Z21" s="59">
        <f>$E$5*$B$5*$B$4</f>
        <v>510.12</v>
      </c>
      <c r="AA21" s="59">
        <f t="shared" si="2"/>
        <v>-892.70999999999992</v>
      </c>
      <c r="AB21" s="59">
        <f t="shared" si="6"/>
        <v>-271.14436337182053</v>
      </c>
      <c r="AC21" s="60">
        <f t="shared" si="3"/>
        <v>-4848.3569668631299</v>
      </c>
      <c r="AD21" s="60">
        <f t="shared" si="7"/>
        <v>152048.35696686312</v>
      </c>
      <c r="AE21" s="59">
        <f t="shared" si="8"/>
        <v>147200</v>
      </c>
      <c r="AF21" s="71"/>
      <c r="AG21" s="71"/>
      <c r="AH21" s="71"/>
      <c r="AI21" s="71"/>
      <c r="AJ21" s="71"/>
    </row>
    <row r="22" spans="1:36" s="88" customFormat="1" ht="18" x14ac:dyDescent="0.25">
      <c r="A22" s="71"/>
      <c r="B22" s="72"/>
      <c r="C22" s="41"/>
      <c r="D22" s="38" t="s">
        <v>140</v>
      </c>
      <c r="E22" s="44">
        <f>26.8224/3.5</f>
        <v>7.6635428571428568</v>
      </c>
      <c r="F22" s="45"/>
      <c r="G22" s="41"/>
      <c r="H22" s="56" t="s">
        <v>46</v>
      </c>
      <c r="I22" s="57" t="s">
        <v>20</v>
      </c>
      <c r="J22" s="57">
        <v>20</v>
      </c>
      <c r="K22" s="65">
        <v>10</v>
      </c>
      <c r="L22" s="65">
        <f t="shared" si="9"/>
        <v>564</v>
      </c>
      <c r="M22" s="65" t="s">
        <v>159</v>
      </c>
      <c r="N22" s="65">
        <v>1.2</v>
      </c>
      <c r="O22" s="65">
        <f t="shared" si="10"/>
        <v>7.1000000000000023</v>
      </c>
      <c r="P22" s="65">
        <f t="shared" si="15"/>
        <v>6.8921025793463802</v>
      </c>
      <c r="Q22" s="65">
        <f t="shared" si="11"/>
        <v>14.939948826657895</v>
      </c>
      <c r="R22" s="66">
        <v>40</v>
      </c>
      <c r="S22" s="65">
        <f t="shared" si="12"/>
        <v>17.881090746535538</v>
      </c>
      <c r="T22" s="65">
        <v>53.644799999999996</v>
      </c>
      <c r="U22" s="65">
        <f t="shared" si="13"/>
        <v>0.55925000000000002</v>
      </c>
      <c r="V22" s="65">
        <f t="shared" si="4"/>
        <v>57.701284523809527</v>
      </c>
      <c r="W22" s="65">
        <f t="shared" si="14"/>
        <v>0</v>
      </c>
      <c r="X22" s="65">
        <f t="shared" si="5"/>
        <v>7.6635428571428568</v>
      </c>
      <c r="Y22" s="65">
        <f t="shared" si="0"/>
        <v>111.44563662817941</v>
      </c>
      <c r="Z22" s="65">
        <v>0</v>
      </c>
      <c r="AA22" s="65">
        <f t="shared" si="2"/>
        <v>765.18</v>
      </c>
      <c r="AB22" s="65">
        <f t="shared" si="6"/>
        <v>876.62563662817934</v>
      </c>
      <c r="AC22" s="65">
        <f t="shared" si="3"/>
        <v>15675.022559287961</v>
      </c>
      <c r="AD22" s="65">
        <f t="shared" si="7"/>
        <v>131524.97744071204</v>
      </c>
      <c r="AE22" s="59">
        <f t="shared" si="8"/>
        <v>147200</v>
      </c>
      <c r="AF22" s="71"/>
      <c r="AG22" s="71"/>
      <c r="AH22" s="71"/>
      <c r="AI22" s="71"/>
      <c r="AJ22" s="71"/>
    </row>
    <row r="23" spans="1:36" s="88" customFormat="1" ht="18" x14ac:dyDescent="0.25">
      <c r="A23" s="71"/>
      <c r="B23" s="72"/>
      <c r="C23" s="41"/>
      <c r="D23" s="38" t="s">
        <v>89</v>
      </c>
      <c r="E23" s="40" t="s">
        <v>67</v>
      </c>
      <c r="F23" s="41"/>
      <c r="G23" s="41"/>
      <c r="H23" s="56" t="s">
        <v>47</v>
      </c>
      <c r="I23" s="57" t="s">
        <v>21</v>
      </c>
      <c r="J23" s="57">
        <v>21</v>
      </c>
      <c r="K23" s="65">
        <v>10</v>
      </c>
      <c r="L23" s="65">
        <f t="shared" si="9"/>
        <v>574</v>
      </c>
      <c r="M23" s="65">
        <v>-1.5</v>
      </c>
      <c r="N23" s="65">
        <v>-1.5</v>
      </c>
      <c r="O23" s="65">
        <f t="shared" si="10"/>
        <v>5.6000000000000023</v>
      </c>
      <c r="P23" s="65">
        <f t="shared" si="15"/>
        <v>-8.6269265586786386</v>
      </c>
      <c r="Q23" s="65">
        <f t="shared" si="11"/>
        <v>-15.519029138025019</v>
      </c>
      <c r="R23" s="66">
        <v>40</v>
      </c>
      <c r="S23" s="65">
        <f t="shared" si="12"/>
        <v>17.881090746535538</v>
      </c>
      <c r="T23" s="65">
        <v>53.644799999999996</v>
      </c>
      <c r="U23" s="65">
        <f t="shared" si="13"/>
        <v>0.55925000000000002</v>
      </c>
      <c r="V23" s="65">
        <f t="shared" si="4"/>
        <v>58.260534523809525</v>
      </c>
      <c r="W23" s="65">
        <f t="shared" si="14"/>
        <v>0</v>
      </c>
      <c r="X23" s="65">
        <f t="shared" si="5"/>
        <v>7.6635428571428568</v>
      </c>
      <c r="Y23" s="65">
        <f t="shared" si="0"/>
        <v>111.44563662817941</v>
      </c>
      <c r="Z23" s="65">
        <v>0</v>
      </c>
      <c r="AA23" s="65">
        <f t="shared" si="2"/>
        <v>-956.47499999999991</v>
      </c>
      <c r="AB23" s="65">
        <f t="shared" si="6"/>
        <v>-845.02936337182052</v>
      </c>
      <c r="AC23" s="66">
        <f t="shared" si="3"/>
        <v>-15110.046729938676</v>
      </c>
      <c r="AD23" s="66">
        <f t="shared" si="7"/>
        <v>162310.04672993868</v>
      </c>
      <c r="AE23" s="59">
        <f t="shared" si="8"/>
        <v>147200</v>
      </c>
      <c r="AF23" s="71"/>
      <c r="AG23" s="71"/>
      <c r="AH23" s="71"/>
      <c r="AI23" s="71"/>
      <c r="AJ23" s="71"/>
    </row>
    <row r="24" spans="1:36" s="88" customFormat="1" ht="18" x14ac:dyDescent="0.25">
      <c r="A24" s="71"/>
      <c r="B24" s="72"/>
      <c r="C24" s="41"/>
      <c r="D24" s="38" t="s">
        <v>71</v>
      </c>
      <c r="E24" s="40" t="s">
        <v>68</v>
      </c>
      <c r="F24" s="41"/>
      <c r="G24" s="41"/>
      <c r="H24" s="56" t="s">
        <v>48</v>
      </c>
      <c r="I24" s="57" t="s">
        <v>22</v>
      </c>
      <c r="J24" s="57">
        <v>22</v>
      </c>
      <c r="K24" s="65">
        <v>0</v>
      </c>
      <c r="L24" s="65">
        <f t="shared" si="9"/>
        <v>574</v>
      </c>
      <c r="M24" s="65">
        <v>0</v>
      </c>
      <c r="N24" s="65">
        <v>0</v>
      </c>
      <c r="O24" s="65">
        <f t="shared" si="10"/>
        <v>5.6000000000000023</v>
      </c>
      <c r="P24" s="65">
        <v>0</v>
      </c>
      <c r="Q24" s="65">
        <f t="shared" si="11"/>
        <v>8.6269265586786386</v>
      </c>
      <c r="R24" s="66">
        <v>40</v>
      </c>
      <c r="S24" s="65">
        <f t="shared" si="12"/>
        <v>17.881090746535538</v>
      </c>
      <c r="T24" s="65">
        <v>53.644799999999996</v>
      </c>
      <c r="U24" s="65">
        <f t="shared" si="13"/>
        <v>0</v>
      </c>
      <c r="V24" s="65">
        <f t="shared" si="4"/>
        <v>58.260534523809525</v>
      </c>
      <c r="W24" s="65">
        <v>0</v>
      </c>
      <c r="X24" s="65">
        <f t="shared" si="5"/>
        <v>7.6635428571428568</v>
      </c>
      <c r="Y24" s="65">
        <f t="shared" si="0"/>
        <v>111.44563662817941</v>
      </c>
      <c r="Z24" s="65">
        <v>0</v>
      </c>
      <c r="AA24" s="65">
        <f t="shared" si="2"/>
        <v>0</v>
      </c>
      <c r="AB24" s="65">
        <f t="shared" si="6"/>
        <v>111.44563662817941</v>
      </c>
      <c r="AC24" s="65">
        <f t="shared" si="3"/>
        <v>1992.7695418539008</v>
      </c>
      <c r="AD24" s="65">
        <f t="shared" si="7"/>
        <v>145207.23045814611</v>
      </c>
      <c r="AE24" s="59">
        <f t="shared" si="8"/>
        <v>147200</v>
      </c>
      <c r="AF24" s="71"/>
      <c r="AG24" s="71"/>
      <c r="AH24" s="71"/>
      <c r="AI24" s="71"/>
      <c r="AJ24" s="71"/>
    </row>
    <row r="25" spans="1:36" s="88" customFormat="1" ht="18" x14ac:dyDescent="0.25">
      <c r="A25" s="71"/>
      <c r="B25" s="72"/>
      <c r="C25" s="41"/>
      <c r="D25" s="38" t="s">
        <v>112</v>
      </c>
      <c r="E25" s="40" t="s">
        <v>113</v>
      </c>
      <c r="F25" s="41"/>
      <c r="G25" s="41"/>
      <c r="H25" s="42" t="s">
        <v>49</v>
      </c>
      <c r="I25" s="43" t="s">
        <v>23</v>
      </c>
      <c r="J25" s="43">
        <v>23</v>
      </c>
      <c r="K25" s="59">
        <v>26</v>
      </c>
      <c r="L25" s="59">
        <f t="shared" si="9"/>
        <v>600</v>
      </c>
      <c r="M25" s="59">
        <v>-3</v>
      </c>
      <c r="N25" s="59">
        <v>-3.2</v>
      </c>
      <c r="O25" s="59">
        <f t="shared" si="10"/>
        <v>2.4000000000000021</v>
      </c>
      <c r="P25" s="59">
        <f>DEGREES(ASIN(N25/K25))</f>
        <v>-7.0697140423033797</v>
      </c>
      <c r="Q25" s="59">
        <f t="shared" si="11"/>
        <v>-7.0697140423033797</v>
      </c>
      <c r="R25" s="59">
        <v>25</v>
      </c>
      <c r="S25" s="59">
        <f t="shared" si="12"/>
        <v>11.175681716584711</v>
      </c>
      <c r="T25" s="59">
        <v>53.644799999999996</v>
      </c>
      <c r="U25" s="59">
        <f t="shared" si="13"/>
        <v>2.3264800000000001</v>
      </c>
      <c r="V25" s="59">
        <f t="shared" si="4"/>
        <v>60.587014523809529</v>
      </c>
      <c r="W25" s="59">
        <f>-(S24-S25)/U25</f>
        <v>-2.8822121960862876</v>
      </c>
      <c r="X25" s="59">
        <f t="shared" si="5"/>
        <v>7.6635428571428568</v>
      </c>
      <c r="Y25" s="59">
        <f t="shared" si="0"/>
        <v>43.533451807882578</v>
      </c>
      <c r="Z25" s="59">
        <f>$E$5*$B$5*$B$4</f>
        <v>510.12</v>
      </c>
      <c r="AA25" s="59">
        <f t="shared" si="2"/>
        <v>-784.8</v>
      </c>
      <c r="AB25" s="59">
        <f t="shared" si="6"/>
        <v>-231.14654819211739</v>
      </c>
      <c r="AC25" s="60">
        <f t="shared" si="3"/>
        <v>-2583.2202524823128</v>
      </c>
      <c r="AD25" s="60">
        <f t="shared" si="7"/>
        <v>149783.22025248231</v>
      </c>
      <c r="AE25" s="59">
        <f t="shared" si="8"/>
        <v>147200</v>
      </c>
      <c r="AF25" s="71"/>
      <c r="AG25" s="71"/>
      <c r="AH25" s="71"/>
      <c r="AI25" s="71"/>
      <c r="AJ25" s="71"/>
    </row>
    <row r="26" spans="1:36" s="88" customFormat="1" ht="18" x14ac:dyDescent="0.25">
      <c r="A26" s="71"/>
      <c r="B26" s="72"/>
      <c r="C26" s="41"/>
      <c r="D26" s="38" t="s">
        <v>74</v>
      </c>
      <c r="E26" s="40" t="s">
        <v>72</v>
      </c>
      <c r="F26" s="77"/>
      <c r="G26" s="41"/>
      <c r="H26" s="42" t="s">
        <v>49</v>
      </c>
      <c r="I26" s="43" t="s">
        <v>24</v>
      </c>
      <c r="J26" s="43">
        <v>24</v>
      </c>
      <c r="K26" s="59">
        <v>28</v>
      </c>
      <c r="L26" s="59">
        <f t="shared" si="9"/>
        <v>628</v>
      </c>
      <c r="M26" s="59">
        <v>-1.4</v>
      </c>
      <c r="N26" s="59">
        <v>-1.5</v>
      </c>
      <c r="O26" s="59">
        <f>O25+N26</f>
        <v>0.90000000000000213</v>
      </c>
      <c r="P26" s="59">
        <f>DEGREES(ASIN(N26/K26))</f>
        <v>-3.0708868110748648</v>
      </c>
      <c r="Q26" s="59">
        <f t="shared" si="11"/>
        <v>3.9988272312285149</v>
      </c>
      <c r="R26" s="59">
        <v>30</v>
      </c>
      <c r="S26" s="59">
        <f t="shared" si="12"/>
        <v>13.410818059901654</v>
      </c>
      <c r="T26" s="59">
        <v>53.644799999999996</v>
      </c>
      <c r="U26" s="59">
        <f t="shared" si="13"/>
        <v>2.0878666666666668</v>
      </c>
      <c r="V26" s="59">
        <f t="shared" si="4"/>
        <v>62.674881190476199</v>
      </c>
      <c r="W26" s="59">
        <f>-(S25-S26)/U26</f>
        <v>1.0705359585463361</v>
      </c>
      <c r="X26" s="59">
        <f t="shared" si="5"/>
        <v>7.6635428571428568</v>
      </c>
      <c r="Y26" s="59">
        <f t="shared" si="0"/>
        <v>62.688170603350926</v>
      </c>
      <c r="Z26" s="59">
        <f>$E$5*$B$5*$B$4</f>
        <v>510.12</v>
      </c>
      <c r="AA26" s="59">
        <f t="shared" si="2"/>
        <v>-341.59821428571433</v>
      </c>
      <c r="AB26" s="59">
        <f t="shared" si="6"/>
        <v>231.20995631763662</v>
      </c>
      <c r="AC26" s="59">
        <f t="shared" si="3"/>
        <v>3100.7146578136339</v>
      </c>
      <c r="AD26" s="59">
        <f t="shared" si="7"/>
        <v>144099.28534218637</v>
      </c>
      <c r="AE26" s="59">
        <f t="shared" si="8"/>
        <v>147200</v>
      </c>
      <c r="AF26" s="71"/>
      <c r="AG26" s="71"/>
      <c r="AH26" s="71"/>
      <c r="AI26" s="71"/>
      <c r="AJ26" s="71"/>
    </row>
    <row r="27" spans="1:36" s="88" customFormat="1" ht="18" x14ac:dyDescent="0.25">
      <c r="A27" s="71"/>
      <c r="B27" s="72"/>
      <c r="C27" s="41"/>
      <c r="D27" s="71"/>
      <c r="E27" s="71"/>
      <c r="F27" s="71"/>
      <c r="G27" s="45"/>
      <c r="H27" s="38" t="s">
        <v>50</v>
      </c>
      <c r="I27" s="43" t="s">
        <v>25</v>
      </c>
      <c r="J27" s="43">
        <v>25</v>
      </c>
      <c r="K27" s="59">
        <v>90</v>
      </c>
      <c r="L27" s="59">
        <f t="shared" si="9"/>
        <v>718</v>
      </c>
      <c r="M27" s="59">
        <v>7.1</v>
      </c>
      <c r="N27" s="59">
        <v>7.1</v>
      </c>
      <c r="O27" s="59">
        <f t="shared" si="10"/>
        <v>8.0000000000000018</v>
      </c>
      <c r="P27" s="59">
        <f>DEGREES(ASIN(N27/K27))</f>
        <v>4.5247019004531444</v>
      </c>
      <c r="Q27" s="59">
        <f t="shared" si="11"/>
        <v>7.5955887115280092</v>
      </c>
      <c r="R27" s="59">
        <v>40</v>
      </c>
      <c r="S27" s="59">
        <f t="shared" si="12"/>
        <v>17.881090746535538</v>
      </c>
      <c r="T27" s="59">
        <v>53.644799999999996</v>
      </c>
      <c r="U27" s="59">
        <f t="shared" si="13"/>
        <v>5.0332500000000007</v>
      </c>
      <c r="V27" s="59">
        <f t="shared" si="4"/>
        <v>67.708131190476195</v>
      </c>
      <c r="W27" s="59">
        <f>-(S26-S27)/U27</f>
        <v>0.88814835079399657</v>
      </c>
      <c r="X27" s="59">
        <f t="shared" si="5"/>
        <v>7.6635428571428568</v>
      </c>
      <c r="Y27" s="59">
        <f t="shared" si="0"/>
        <v>111.44563662817941</v>
      </c>
      <c r="Z27" s="59">
        <f>$E$5*$B$5*$B$4</f>
        <v>510.12</v>
      </c>
      <c r="AA27" s="59">
        <f t="shared" si="2"/>
        <v>503.03499999999997</v>
      </c>
      <c r="AB27" s="59">
        <f t="shared" si="6"/>
        <v>1124.6006366281795</v>
      </c>
      <c r="AC27" s="59">
        <f t="shared" si="3"/>
        <v>20109.086037160116</v>
      </c>
      <c r="AD27" s="59">
        <f t="shared" si="7"/>
        <v>127090.91396283988</v>
      </c>
      <c r="AE27" s="59">
        <f t="shared" si="8"/>
        <v>147200</v>
      </c>
      <c r="AF27" s="71"/>
      <c r="AG27" s="71"/>
      <c r="AH27" s="71"/>
      <c r="AI27" s="71"/>
      <c r="AJ27" s="71"/>
    </row>
    <row r="28" spans="1:36" s="88" customFormat="1" ht="18" x14ac:dyDescent="0.25">
      <c r="A28" s="71"/>
      <c r="B28" s="72"/>
      <c r="C28" s="41"/>
      <c r="D28" s="71"/>
      <c r="E28" s="71"/>
      <c r="F28" s="71"/>
      <c r="G28" s="58"/>
      <c r="H28" s="38" t="s">
        <v>51</v>
      </c>
      <c r="I28" s="43" t="s">
        <v>26</v>
      </c>
      <c r="J28" s="43">
        <v>0</v>
      </c>
      <c r="K28" s="93">
        <v>1</v>
      </c>
      <c r="L28" s="59">
        <f t="shared" si="9"/>
        <v>719</v>
      </c>
      <c r="M28" s="59">
        <v>0.1</v>
      </c>
      <c r="N28" s="59">
        <v>0.1</v>
      </c>
      <c r="O28" s="59">
        <f>O27+N28</f>
        <v>8.1000000000000014</v>
      </c>
      <c r="P28" s="59">
        <f>DEGREES(ASIN(N28/K28))</f>
        <v>5.7391704772667866</v>
      </c>
      <c r="Q28" s="59">
        <f t="shared" si="11"/>
        <v>1.2144685768136423</v>
      </c>
      <c r="R28" s="59">
        <v>40</v>
      </c>
      <c r="S28" s="59">
        <f t="shared" si="12"/>
        <v>17.881090746535538</v>
      </c>
      <c r="T28" s="59">
        <v>53.644799999999996</v>
      </c>
      <c r="U28" s="59">
        <f t="shared" si="13"/>
        <v>5.5925000000000002E-2</v>
      </c>
      <c r="V28" s="59">
        <f t="shared" si="4"/>
        <v>67.764056190476197</v>
      </c>
      <c r="W28" s="93">
        <f>-(S27-S28)/U28</f>
        <v>0</v>
      </c>
      <c r="X28" s="59">
        <f t="shared" si="5"/>
        <v>7.6635428571428568</v>
      </c>
      <c r="Y28" s="83">
        <f t="shared" si="0"/>
        <v>111.44563662817941</v>
      </c>
      <c r="Z28" s="59">
        <f>$E$5*$B$5*$B$4</f>
        <v>510.12</v>
      </c>
      <c r="AA28" s="59">
        <f t="shared" si="2"/>
        <v>637.65000000000009</v>
      </c>
      <c r="AB28" s="59">
        <f t="shared" si="6"/>
        <v>1259.2156366281795</v>
      </c>
      <c r="AC28" s="59">
        <f t="shared" si="3"/>
        <v>22516.149068004997</v>
      </c>
      <c r="AD28" s="59">
        <f t="shared" si="7"/>
        <v>124683.850931995</v>
      </c>
      <c r="AE28" s="59">
        <f t="shared" si="8"/>
        <v>147200</v>
      </c>
      <c r="AF28" s="71"/>
      <c r="AG28" s="71"/>
      <c r="AH28" s="71"/>
      <c r="AI28" s="71"/>
      <c r="AJ28" s="71"/>
    </row>
    <row r="29" spans="1:36" s="88" customFormat="1" ht="18" x14ac:dyDescent="0.25">
      <c r="A29" s="71"/>
      <c r="B29" s="72"/>
      <c r="C29" s="41"/>
      <c r="D29" s="71"/>
      <c r="E29" s="71"/>
      <c r="F29" s="71"/>
      <c r="G29" s="69"/>
      <c r="H29" s="71"/>
      <c r="I29" s="72"/>
      <c r="J29" s="72"/>
      <c r="K29" s="71"/>
      <c r="L29" s="69"/>
      <c r="M29" s="71"/>
      <c r="N29" s="71"/>
      <c r="O29" s="69"/>
      <c r="P29" s="71"/>
      <c r="Q29" s="71"/>
      <c r="R29" s="71"/>
      <c r="S29" s="75"/>
      <c r="T29" s="71"/>
      <c r="U29" s="71"/>
      <c r="V29" s="69"/>
      <c r="W29" s="69"/>
      <c r="X29" s="69"/>
      <c r="Y29" s="67"/>
      <c r="Z29" s="71"/>
      <c r="AA29" s="71"/>
      <c r="AB29" s="71"/>
      <c r="AC29" s="71"/>
      <c r="AD29" s="71"/>
      <c r="AE29" s="71"/>
      <c r="AF29" s="71"/>
      <c r="AG29" s="71"/>
      <c r="AH29" s="71"/>
      <c r="AI29" s="71"/>
      <c r="AJ29" s="71"/>
    </row>
    <row r="30" spans="1:36" s="88" customFormat="1" ht="18" x14ac:dyDescent="0.25">
      <c r="A30" s="71"/>
      <c r="B30" s="72"/>
      <c r="C30" s="41"/>
      <c r="D30" s="71"/>
      <c r="E30" s="71"/>
      <c r="F30" s="71"/>
      <c r="G30" s="69"/>
      <c r="H30" s="71"/>
      <c r="I30" s="72"/>
      <c r="J30" s="94" t="s">
        <v>166</v>
      </c>
      <c r="K30" s="38">
        <f>SUM(K2:K28)</f>
        <v>719</v>
      </c>
      <c r="L30" s="71"/>
      <c r="M30" s="95" t="s">
        <v>162</v>
      </c>
      <c r="N30" s="82">
        <f>SUM(N2:N4,N9,N12:N17,N22,N24,N27)</f>
        <v>35.199999999999996</v>
      </c>
      <c r="O30" s="71"/>
      <c r="P30" s="71"/>
      <c r="Q30" s="71"/>
      <c r="R30" s="71"/>
      <c r="S30" s="71"/>
      <c r="T30" s="91" t="s">
        <v>108</v>
      </c>
      <c r="U30" s="92">
        <f>SUM(U3:U28)</f>
        <v>67.764056190476197</v>
      </c>
      <c r="V30" s="90" t="s">
        <v>169</v>
      </c>
      <c r="W30" s="43">
        <f>AVERAGE(W2:W28)</f>
        <v>0.26569683254952897</v>
      </c>
      <c r="X30" s="71"/>
      <c r="Y30" s="71"/>
      <c r="Z30" s="71"/>
      <c r="AA30" s="71"/>
      <c r="AB30" s="90" t="s">
        <v>167</v>
      </c>
      <c r="AC30" s="89">
        <f>SUM(AC2:AC28)/26</f>
        <v>6742.871101876608</v>
      </c>
      <c r="AD30" s="71"/>
      <c r="AE30" s="71"/>
      <c r="AF30" s="71"/>
      <c r="AG30" s="71"/>
      <c r="AH30" s="71"/>
      <c r="AI30" s="71"/>
      <c r="AJ30" s="71"/>
    </row>
    <row r="31" spans="1:36" ht="18" x14ac:dyDescent="0.25">
      <c r="A31" s="33"/>
      <c r="B31" s="73"/>
      <c r="C31" s="41"/>
      <c r="D31" s="33"/>
      <c r="E31" s="33"/>
      <c r="F31" s="71"/>
      <c r="G31" s="34"/>
      <c r="H31" s="33"/>
      <c r="I31" s="73"/>
      <c r="J31" s="73"/>
      <c r="K31" s="33"/>
      <c r="L31" s="33"/>
      <c r="M31" s="94" t="s">
        <v>163</v>
      </c>
      <c r="N31" s="42">
        <f>SUM(N5:N8,N10:N11,N18:N21,N23,N25:N26)</f>
        <v>-35.200000000000003</v>
      </c>
      <c r="O31" s="33"/>
      <c r="P31" s="33"/>
      <c r="Q31" s="33"/>
      <c r="R31" s="33"/>
      <c r="S31" s="33"/>
      <c r="T31" s="33"/>
      <c r="U31" s="33"/>
      <c r="V31" s="33"/>
      <c r="W31" s="33"/>
      <c r="X31" s="33"/>
      <c r="Y31" s="33"/>
      <c r="Z31" s="33"/>
      <c r="AA31" s="33"/>
      <c r="AB31" s="90" t="s">
        <v>168</v>
      </c>
      <c r="AC31" s="89">
        <f>MAX(AC2:AC28)</f>
        <v>25743.095534380951</v>
      </c>
      <c r="AD31" s="33"/>
      <c r="AE31" s="33"/>
      <c r="AF31" s="33"/>
      <c r="AG31" s="33"/>
      <c r="AH31" s="33"/>
      <c r="AI31" s="33"/>
      <c r="AJ31" s="33"/>
    </row>
    <row r="32" spans="1:36" ht="18" x14ac:dyDescent="0.25">
      <c r="A32" s="33"/>
      <c r="B32" s="73"/>
      <c r="C32" s="41"/>
      <c r="D32" s="33"/>
      <c r="E32" s="33"/>
      <c r="F32" s="71"/>
      <c r="G32" s="34"/>
      <c r="H32" s="33"/>
      <c r="I32" s="73"/>
      <c r="J32" s="73"/>
      <c r="K32" s="33"/>
      <c r="L32" s="33"/>
      <c r="M32" s="94" t="s">
        <v>164</v>
      </c>
      <c r="N32" s="42">
        <f>SUM(N30:N31)</f>
        <v>0</v>
      </c>
      <c r="O32" s="33"/>
      <c r="P32" s="33"/>
      <c r="Q32" s="33"/>
      <c r="R32" s="33"/>
      <c r="S32" s="33"/>
      <c r="T32" s="33"/>
      <c r="U32" s="33"/>
      <c r="V32" s="33"/>
      <c r="W32" s="33"/>
      <c r="X32" s="33"/>
      <c r="Y32" s="33"/>
      <c r="Z32" s="33"/>
      <c r="AA32" s="33"/>
      <c r="AB32" s="33"/>
      <c r="AC32" s="33"/>
      <c r="AD32" s="33"/>
      <c r="AE32" s="33"/>
      <c r="AF32" s="33"/>
      <c r="AG32" s="33"/>
      <c r="AH32" s="33"/>
      <c r="AI32" s="33"/>
      <c r="AJ32" s="33"/>
    </row>
    <row r="33" spans="1:36" ht="18" x14ac:dyDescent="0.25">
      <c r="A33" s="33"/>
      <c r="B33" s="73"/>
      <c r="C33" s="74"/>
      <c r="D33" s="34"/>
      <c r="E33" s="33"/>
      <c r="F33" s="71"/>
      <c r="G33" s="34"/>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row>
    <row r="34" spans="1:36" ht="18" x14ac:dyDescent="0.25">
      <c r="A34" s="33"/>
      <c r="B34" s="73"/>
      <c r="C34" s="73"/>
      <c r="D34" s="33"/>
      <c r="E34" s="33"/>
      <c r="F34" s="71"/>
      <c r="G34" s="34"/>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row>
    <row r="35" spans="1:36" ht="18" x14ac:dyDescent="0.25">
      <c r="A35" s="33"/>
      <c r="B35" s="73"/>
      <c r="C35" s="73"/>
      <c r="D35" s="33"/>
      <c r="E35" s="33"/>
      <c r="F35" s="71"/>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row>
    <row r="36" spans="1:36" ht="18" x14ac:dyDescent="0.25">
      <c r="A36" s="33"/>
      <c r="B36" s="73"/>
      <c r="C36" s="73"/>
      <c r="D36" s="33"/>
      <c r="E36" s="33"/>
      <c r="F36" s="71"/>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row>
    <row r="37" spans="1:36" ht="18" x14ac:dyDescent="0.25">
      <c r="A37" s="33"/>
      <c r="B37" s="73"/>
      <c r="C37" s="73"/>
      <c r="D37" s="33"/>
      <c r="E37" s="33"/>
      <c r="F37" s="71"/>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row>
    <row r="38" spans="1:36" ht="18" x14ac:dyDescent="0.25">
      <c r="A38" s="33"/>
      <c r="B38" s="73"/>
      <c r="C38" s="73"/>
      <c r="D38" s="33"/>
      <c r="E38" s="33"/>
      <c r="F38" s="71"/>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row>
    <row r="39" spans="1:36" ht="18" x14ac:dyDescent="0.25">
      <c r="A39" s="33"/>
      <c r="B39" s="73"/>
      <c r="C39" s="73"/>
      <c r="D39" s="33"/>
      <c r="E39" s="33"/>
      <c r="F39" s="71"/>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row>
    <row r="40" spans="1:36" ht="18" x14ac:dyDescent="0.25">
      <c r="A40" s="33"/>
      <c r="B40" s="33"/>
      <c r="C40" s="73"/>
      <c r="D40" s="33"/>
      <c r="E40" s="33"/>
      <c r="F40" s="71"/>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row>
    <row r="41" spans="1:36" ht="18" x14ac:dyDescent="0.25">
      <c r="A41" s="33"/>
      <c r="B41" s="33"/>
      <c r="C41" s="73"/>
      <c r="D41" s="33"/>
      <c r="E41" s="33"/>
      <c r="F41" s="71"/>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row>
    <row r="42" spans="1:36" x14ac:dyDescent="0.2">
      <c r="A42" s="33"/>
      <c r="B42" s="33"/>
      <c r="C42" s="7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row>
    <row r="43" spans="1:36" x14ac:dyDescent="0.2">
      <c r="A43" s="33"/>
      <c r="B43" s="33"/>
      <c r="C43" s="7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row>
    <row r="44" spans="1:36" x14ac:dyDescent="0.2">
      <c r="A44" s="33"/>
      <c r="B44" s="33"/>
      <c r="C44" s="7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row>
    <row r="45" spans="1:36" x14ac:dyDescent="0.2">
      <c r="A45" s="33"/>
      <c r="B45" s="33"/>
      <c r="C45" s="7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row>
    <row r="46" spans="1:36" x14ac:dyDescent="0.2">
      <c r="A46" s="33"/>
      <c r="B46" s="33"/>
      <c r="C46" s="7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row>
    <row r="47" spans="1:36" x14ac:dyDescent="0.2">
      <c r="A47" s="33"/>
      <c r="B47" s="33"/>
      <c r="C47" s="7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row>
    <row r="48" spans="1:36" x14ac:dyDescent="0.2">
      <c r="A48" s="33"/>
      <c r="B48" s="33"/>
      <c r="C48" s="7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row>
    <row r="49" spans="1:36" x14ac:dyDescent="0.2">
      <c r="A49" s="33"/>
      <c r="B49" s="33"/>
      <c r="C49" s="7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row>
    <row r="50" spans="1:36" x14ac:dyDescent="0.2">
      <c r="A50" s="33"/>
      <c r="B50" s="33"/>
      <c r="C50" s="7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row>
    <row r="51" spans="1:36" x14ac:dyDescent="0.2">
      <c r="A51" s="33"/>
      <c r="B51" s="73"/>
      <c r="C51" s="7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row>
    <row r="52" spans="1:36" x14ac:dyDescent="0.2">
      <c r="A52" s="33"/>
      <c r="B52" s="73"/>
      <c r="C52" s="7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row>
    <row r="53" spans="1:36" x14ac:dyDescent="0.2">
      <c r="A53" s="33"/>
      <c r="B53" s="73"/>
      <c r="C53" s="7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row>
    <row r="54" spans="1:36" x14ac:dyDescent="0.2">
      <c r="A54" s="33"/>
      <c r="B54" s="73"/>
      <c r="C54" s="7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row>
    <row r="55" spans="1:36" x14ac:dyDescent="0.2">
      <c r="A55" s="33"/>
      <c r="B55" s="73"/>
      <c r="C55" s="7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row>
    <row r="56" spans="1:36" x14ac:dyDescent="0.2">
      <c r="A56" s="33"/>
      <c r="B56" s="73"/>
      <c r="C56" s="7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row>
    <row r="57" spans="1:36" x14ac:dyDescent="0.2">
      <c r="A57" s="33"/>
      <c r="B57" s="73"/>
      <c r="C57" s="7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row>
    <row r="58" spans="1:36" x14ac:dyDescent="0.2">
      <c r="A58" s="33"/>
      <c r="B58" s="73"/>
      <c r="C58" s="7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row>
    <row r="59" spans="1:36" x14ac:dyDescent="0.2">
      <c r="A59" s="33"/>
      <c r="B59" s="73"/>
      <c r="C59" s="7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row>
    <row r="60" spans="1:36" x14ac:dyDescent="0.2">
      <c r="A60" s="33"/>
      <c r="B60" s="73"/>
      <c r="C60" s="7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row>
    <row r="61" spans="1:36" x14ac:dyDescent="0.2">
      <c r="A61" s="33"/>
      <c r="B61" s="73"/>
      <c r="C61" s="7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row>
    <row r="62" spans="1:36" x14ac:dyDescent="0.2">
      <c r="A62" s="33"/>
      <c r="B62" s="73"/>
      <c r="C62" s="7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row>
    <row r="63" spans="1:36" x14ac:dyDescent="0.2">
      <c r="A63" s="33"/>
      <c r="B63" s="73"/>
      <c r="C63" s="7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row>
    <row r="64" spans="1:36" x14ac:dyDescent="0.2">
      <c r="A64" s="33"/>
      <c r="B64" s="73"/>
      <c r="C64" s="7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row>
    <row r="65" spans="1:36" x14ac:dyDescent="0.2">
      <c r="A65" s="33"/>
      <c r="B65" s="73"/>
      <c r="C65" s="7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row>
    <row r="66" spans="1:36" x14ac:dyDescent="0.2">
      <c r="A66" s="33"/>
      <c r="B66" s="73"/>
      <c r="C66" s="7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row>
    <row r="67" spans="1:36" x14ac:dyDescent="0.2">
      <c r="A67" s="33"/>
      <c r="B67" s="73"/>
      <c r="C67" s="7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row>
    <row r="68" spans="1:36" x14ac:dyDescent="0.2">
      <c r="A68" s="33"/>
      <c r="B68" s="73"/>
      <c r="C68" s="7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row>
    <row r="69" spans="1:36" x14ac:dyDescent="0.2">
      <c r="A69" s="33"/>
      <c r="B69" s="73"/>
      <c r="C69" s="7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row>
    <row r="70" spans="1:36" x14ac:dyDescent="0.2">
      <c r="A70" s="33"/>
      <c r="B70" s="73"/>
      <c r="C70" s="7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row>
    <row r="71" spans="1:36" x14ac:dyDescent="0.2">
      <c r="A71" s="33"/>
      <c r="B71" s="73"/>
      <c r="C71" s="7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row>
    <row r="72" spans="1:36" x14ac:dyDescent="0.2">
      <c r="A72" s="33"/>
      <c r="B72" s="73"/>
      <c r="C72" s="7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row>
    <row r="73" spans="1:36" x14ac:dyDescent="0.2">
      <c r="A73" s="33"/>
      <c r="B73" s="73"/>
      <c r="C73" s="7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row>
    <row r="74" spans="1:36" x14ac:dyDescent="0.2">
      <c r="A74" s="33"/>
      <c r="B74" s="73"/>
      <c r="C74" s="7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row>
    <row r="75" spans="1:36" x14ac:dyDescent="0.2">
      <c r="A75" s="33"/>
      <c r="B75" s="73"/>
      <c r="C75" s="7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row>
    <row r="76" spans="1:36" x14ac:dyDescent="0.2">
      <c r="A76" s="33"/>
      <c r="B76" s="73"/>
      <c r="C76" s="7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row>
    <row r="77" spans="1:36" x14ac:dyDescent="0.2">
      <c r="A77" s="33"/>
      <c r="B77" s="73"/>
      <c r="C77" s="7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row>
    <row r="78" spans="1:36" x14ac:dyDescent="0.2">
      <c r="A78" s="33"/>
      <c r="B78" s="73"/>
      <c r="C78" s="7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row>
    <row r="79" spans="1:36" x14ac:dyDescent="0.2">
      <c r="A79" s="33"/>
      <c r="B79" s="73"/>
      <c r="C79" s="7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row>
    <row r="80" spans="1:36" x14ac:dyDescent="0.2">
      <c r="A80" s="33"/>
      <c r="B80" s="73"/>
      <c r="C80" s="7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row>
    <row r="81" spans="1:36" x14ac:dyDescent="0.2">
      <c r="A81" s="33"/>
      <c r="B81" s="73"/>
      <c r="C81" s="7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row>
    <row r="82" spans="1:36" x14ac:dyDescent="0.2">
      <c r="A82" s="33"/>
      <c r="B82" s="73"/>
      <c r="C82" s="7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row>
    <row r="83" spans="1:36" x14ac:dyDescent="0.2">
      <c r="A83" s="33"/>
      <c r="B83" s="73"/>
      <c r="C83" s="7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row>
    <row r="84" spans="1:36" x14ac:dyDescent="0.2">
      <c r="A84" s="33"/>
      <c r="B84" s="73"/>
      <c r="C84" s="7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row>
    <row r="85" spans="1:36" x14ac:dyDescent="0.2">
      <c r="A85" s="33"/>
      <c r="B85" s="73"/>
      <c r="C85" s="7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row>
    <row r="86" spans="1:36" x14ac:dyDescent="0.2">
      <c r="A86" s="33"/>
      <c r="B86" s="73"/>
      <c r="C86" s="7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row>
    <row r="87" spans="1:36" x14ac:dyDescent="0.2">
      <c r="A87" s="33"/>
      <c r="B87" s="73"/>
      <c r="C87" s="7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row>
    <row r="88" spans="1:36" x14ac:dyDescent="0.2">
      <c r="A88" s="33"/>
      <c r="B88" s="73"/>
      <c r="C88" s="7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row>
    <row r="89" spans="1:36" x14ac:dyDescent="0.2">
      <c r="A89" s="33"/>
      <c r="B89" s="73"/>
      <c r="C89" s="7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row>
    <row r="90" spans="1:36" x14ac:dyDescent="0.2">
      <c r="A90" s="33"/>
      <c r="B90" s="73"/>
      <c r="C90" s="7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row>
    <row r="91" spans="1:36" x14ac:dyDescent="0.2">
      <c r="A91" s="33"/>
      <c r="B91" s="73"/>
      <c r="C91" s="7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row>
    <row r="92" spans="1:36" x14ac:dyDescent="0.2">
      <c r="A92" s="33"/>
      <c r="B92" s="73"/>
      <c r="C92" s="7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row>
    <row r="93" spans="1:36" x14ac:dyDescent="0.2">
      <c r="A93" s="33"/>
      <c r="B93" s="73"/>
      <c r="C93" s="7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row>
    <row r="94" spans="1:36" x14ac:dyDescent="0.2">
      <c r="A94" s="33"/>
      <c r="B94" s="73"/>
      <c r="C94" s="7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row>
    <row r="95" spans="1:36" x14ac:dyDescent="0.2">
      <c r="A95" s="33"/>
      <c r="B95" s="73"/>
      <c r="C95" s="7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row>
    <row r="96" spans="1:36" x14ac:dyDescent="0.2">
      <c r="A96" s="33"/>
      <c r="B96" s="73"/>
      <c r="C96" s="7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row>
    <row r="97" spans="1:36" x14ac:dyDescent="0.2">
      <c r="A97" s="33"/>
      <c r="B97" s="73"/>
      <c r="C97" s="7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33"/>
    </row>
    <row r="98" spans="1:36" x14ac:dyDescent="0.2">
      <c r="A98" s="33"/>
      <c r="B98" s="73"/>
      <c r="C98" s="7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row>
    <row r="99" spans="1:36" x14ac:dyDescent="0.2">
      <c r="A99" s="33"/>
      <c r="B99" s="73"/>
      <c r="C99" s="7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c r="AJ99" s="33"/>
    </row>
    <row r="100" spans="1:36" x14ac:dyDescent="0.2">
      <c r="A100" s="33"/>
      <c r="B100" s="73"/>
      <c r="C100" s="7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row>
    <row r="101" spans="1:36" x14ac:dyDescent="0.2">
      <c r="A101" s="33"/>
      <c r="B101" s="73"/>
      <c r="C101" s="7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c r="AJ101" s="33"/>
    </row>
    <row r="102" spans="1:36" x14ac:dyDescent="0.2">
      <c r="A102" s="33"/>
      <c r="B102" s="73"/>
      <c r="C102" s="7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c r="AJ102" s="33"/>
    </row>
    <row r="103" spans="1:36" x14ac:dyDescent="0.2">
      <c r="A103" s="33"/>
      <c r="B103" s="73"/>
      <c r="C103" s="7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row>
    <row r="104" spans="1:36" x14ac:dyDescent="0.2">
      <c r="A104" s="33"/>
      <c r="B104" s="73"/>
      <c r="C104" s="73"/>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c r="AJ104" s="33"/>
    </row>
    <row r="105" spans="1:36" x14ac:dyDescent="0.2">
      <c r="A105" s="33"/>
      <c r="B105" s="73"/>
      <c r="C105" s="73"/>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c r="AJ105" s="33"/>
    </row>
    <row r="106" spans="1:36" x14ac:dyDescent="0.2">
      <c r="A106" s="33"/>
      <c r="B106" s="73"/>
      <c r="C106" s="7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c r="AJ106" s="33"/>
    </row>
    <row r="107" spans="1:36" x14ac:dyDescent="0.2">
      <c r="A107" s="33"/>
      <c r="B107" s="73"/>
      <c r="C107" s="73"/>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c r="AJ107" s="33"/>
    </row>
    <row r="108" spans="1:36" x14ac:dyDescent="0.2">
      <c r="A108" s="33"/>
      <c r="B108" s="73"/>
      <c r="C108" s="7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c r="AJ108" s="33"/>
    </row>
    <row r="109" spans="1:36" x14ac:dyDescent="0.2">
      <c r="A109" s="33"/>
      <c r="B109" s="73"/>
      <c r="C109" s="7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c r="AJ109" s="33"/>
    </row>
    <row r="110" spans="1:36" x14ac:dyDescent="0.2">
      <c r="A110" s="33"/>
      <c r="B110" s="73"/>
      <c r="C110" s="7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row>
    <row r="111" spans="1:36" x14ac:dyDescent="0.2">
      <c r="A111" s="33"/>
      <c r="B111" s="73"/>
      <c r="C111" s="7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c r="AJ111" s="33"/>
    </row>
    <row r="112" spans="1:36" x14ac:dyDescent="0.2">
      <c r="A112" s="33"/>
      <c r="B112" s="73"/>
      <c r="C112" s="73"/>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c r="AJ112" s="33"/>
    </row>
    <row r="113" spans="1:36" x14ac:dyDescent="0.2">
      <c r="A113" s="33"/>
      <c r="B113" s="73"/>
      <c r="C113" s="7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c r="AJ113" s="33"/>
    </row>
    <row r="114" spans="1:36" x14ac:dyDescent="0.2">
      <c r="A114" s="33"/>
      <c r="B114" s="73"/>
      <c r="C114" s="73"/>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I114" s="33"/>
      <c r="AJ114" s="33"/>
    </row>
    <row r="115" spans="1:36" x14ac:dyDescent="0.2">
      <c r="A115" s="33"/>
      <c r="B115" s="73"/>
      <c r="C115" s="73"/>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I115" s="33"/>
      <c r="AJ115" s="33"/>
    </row>
    <row r="116" spans="1:36" x14ac:dyDescent="0.2">
      <c r="A116" s="33"/>
      <c r="B116" s="73"/>
      <c r="C116" s="73"/>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c r="AJ116" s="33"/>
    </row>
    <row r="117" spans="1:36" x14ac:dyDescent="0.2">
      <c r="A117" s="33"/>
      <c r="B117" s="73"/>
      <c r="C117" s="7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row>
    <row r="118" spans="1:36" x14ac:dyDescent="0.2">
      <c r="A118" s="33"/>
      <c r="B118" s="73"/>
      <c r="C118" s="7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c r="AJ118" s="33"/>
    </row>
    <row r="119" spans="1:36" x14ac:dyDescent="0.2">
      <c r="A119" s="33"/>
      <c r="B119" s="73"/>
      <c r="C119" s="73"/>
      <c r="D119" s="33"/>
      <c r="E119" s="33" t="s">
        <v>124</v>
      </c>
      <c r="F119" s="33"/>
      <c r="G119" s="33"/>
      <c r="H119" s="33"/>
      <c r="I119" s="33"/>
      <c r="J119" s="3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I119" s="33"/>
      <c r="AJ119" s="33"/>
    </row>
    <row r="120" spans="1:36" x14ac:dyDescent="0.2">
      <c r="A120" s="33"/>
      <c r="B120" s="73"/>
      <c r="C120" s="7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c r="AJ120" s="33"/>
    </row>
    <row r="121" spans="1:36" x14ac:dyDescent="0.2">
      <c r="A121" s="33"/>
      <c r="B121" s="73"/>
      <c r="C121" s="73"/>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c r="AC121" s="33"/>
      <c r="AD121" s="33"/>
      <c r="AE121" s="33"/>
      <c r="AF121" s="33"/>
      <c r="AG121" s="33"/>
      <c r="AH121" s="33"/>
      <c r="AI121" s="33"/>
      <c r="AJ121" s="33"/>
    </row>
    <row r="122" spans="1:36" x14ac:dyDescent="0.2">
      <c r="A122" s="33"/>
      <c r="B122" s="73"/>
      <c r="C122" s="73"/>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I122" s="33"/>
      <c r="AJ122" s="33"/>
    </row>
    <row r="123" spans="1:36" x14ac:dyDescent="0.2">
      <c r="A123" s="33"/>
      <c r="B123" s="73"/>
      <c r="C123" s="73"/>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c r="AJ123" s="33"/>
    </row>
    <row r="124" spans="1:36" x14ac:dyDescent="0.2">
      <c r="A124" s="33"/>
      <c r="B124" s="73"/>
      <c r="C124" s="73"/>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c r="AJ124" s="33"/>
    </row>
    <row r="125" spans="1:36" x14ac:dyDescent="0.2">
      <c r="A125" s="33"/>
      <c r="B125" s="73"/>
      <c r="C125" s="73"/>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33"/>
      <c r="AJ125" s="33"/>
    </row>
    <row r="126" spans="1:36" x14ac:dyDescent="0.2">
      <c r="A126" s="33"/>
      <c r="B126" s="73"/>
      <c r="C126" s="7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c r="AJ126" s="33"/>
    </row>
    <row r="127" spans="1:36" x14ac:dyDescent="0.2">
      <c r="A127" s="33"/>
      <c r="B127" s="73"/>
      <c r="C127" s="73"/>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c r="AJ127" s="33"/>
    </row>
    <row r="128" spans="1:36" x14ac:dyDescent="0.2">
      <c r="A128" s="33"/>
      <c r="B128" s="73"/>
      <c r="C128" s="73"/>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c r="AJ128" s="33"/>
    </row>
    <row r="129" spans="1:36" x14ac:dyDescent="0.2">
      <c r="A129" s="33"/>
      <c r="B129" s="73"/>
      <c r="C129" s="73"/>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G129" s="33"/>
      <c r="AH129" s="33"/>
      <c r="AI129" s="33"/>
      <c r="AJ129" s="33"/>
    </row>
    <row r="130" spans="1:36" x14ac:dyDescent="0.2">
      <c r="A130" s="33"/>
      <c r="B130" s="73"/>
      <c r="C130" s="73"/>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I130" s="33"/>
      <c r="AJ130" s="33"/>
    </row>
    <row r="131" spans="1:36" x14ac:dyDescent="0.2">
      <c r="A131" s="33"/>
      <c r="B131" s="73"/>
      <c r="C131" s="73"/>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I131" s="33"/>
      <c r="AJ131" s="33"/>
    </row>
    <row r="132" spans="1:36" x14ac:dyDescent="0.2">
      <c r="A132" s="33"/>
      <c r="B132" s="73"/>
      <c r="C132" s="73"/>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33"/>
      <c r="AJ132" s="33"/>
    </row>
    <row r="133" spans="1:36" x14ac:dyDescent="0.2">
      <c r="A133" s="33"/>
      <c r="B133" s="73"/>
      <c r="C133" s="73"/>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33"/>
      <c r="AJ133" s="33"/>
    </row>
    <row r="134" spans="1:36" x14ac:dyDescent="0.2">
      <c r="A134" s="33"/>
      <c r="B134" s="73"/>
      <c r="C134" s="7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33"/>
      <c r="AJ134" s="33"/>
    </row>
    <row r="135" spans="1:36" x14ac:dyDescent="0.2">
      <c r="A135" s="33"/>
      <c r="B135" s="73"/>
      <c r="C135" s="7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c r="AJ135" s="33"/>
    </row>
    <row r="136" spans="1:36" x14ac:dyDescent="0.2">
      <c r="A136" s="33"/>
      <c r="B136" s="73"/>
      <c r="C136" s="7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c r="AJ136" s="33"/>
    </row>
    <row r="137" spans="1:36" x14ac:dyDescent="0.2">
      <c r="A137" s="33"/>
      <c r="B137" s="73"/>
      <c r="C137" s="73"/>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33"/>
      <c r="AJ137" s="33"/>
    </row>
    <row r="138" spans="1:36" x14ac:dyDescent="0.2">
      <c r="A138" s="33"/>
      <c r="B138" s="73"/>
      <c r="C138" s="73"/>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c r="AJ138" s="33"/>
    </row>
    <row r="139" spans="1:36" x14ac:dyDescent="0.2">
      <c r="A139" s="33"/>
      <c r="B139" s="73"/>
      <c r="C139" s="73"/>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33"/>
      <c r="AJ139" s="33"/>
    </row>
    <row r="140" spans="1:36" x14ac:dyDescent="0.2">
      <c r="A140" s="33"/>
      <c r="B140" s="73"/>
      <c r="C140" s="73"/>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c r="AJ140" s="33"/>
    </row>
    <row r="141" spans="1:36" x14ac:dyDescent="0.2">
      <c r="A141" s="33"/>
      <c r="B141" s="73"/>
      <c r="C141" s="73"/>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33"/>
      <c r="AG141" s="33"/>
      <c r="AH141" s="33"/>
      <c r="AI141" s="33"/>
      <c r="AJ141" s="33"/>
    </row>
    <row r="142" spans="1:36" x14ac:dyDescent="0.2">
      <c r="A142" s="33"/>
      <c r="B142" s="73"/>
      <c r="C142" s="73"/>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c r="AJ142" s="33"/>
    </row>
    <row r="143" spans="1:36" x14ac:dyDescent="0.2">
      <c r="A143" s="33"/>
      <c r="B143" s="73"/>
      <c r="C143" s="73"/>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c r="AG143" s="33"/>
      <c r="AH143" s="33"/>
      <c r="AI143" s="33"/>
      <c r="AJ143" s="33"/>
    </row>
    <row r="144" spans="1:36" x14ac:dyDescent="0.2">
      <c r="A144" s="33"/>
      <c r="B144" s="73"/>
      <c r="C144" s="73"/>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33"/>
      <c r="AJ144" s="33"/>
    </row>
    <row r="145" spans="1:36" x14ac:dyDescent="0.2">
      <c r="A145" s="33"/>
      <c r="B145" s="73"/>
      <c r="C145" s="73"/>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33"/>
      <c r="AJ145" s="33"/>
    </row>
    <row r="146" spans="1:36" x14ac:dyDescent="0.2">
      <c r="A146" s="33"/>
      <c r="B146" s="73"/>
      <c r="C146" s="73"/>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c r="AJ146" s="33"/>
    </row>
    <row r="147" spans="1:36" x14ac:dyDescent="0.2">
      <c r="A147" s="33"/>
      <c r="B147" s="73"/>
      <c r="C147" s="73"/>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c r="AJ147" s="33"/>
    </row>
    <row r="148" spans="1:36" x14ac:dyDescent="0.2">
      <c r="A148" s="33"/>
      <c r="B148" s="73"/>
      <c r="C148" s="73"/>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c r="AG148" s="33"/>
      <c r="AH148" s="33"/>
      <c r="AI148" s="33"/>
      <c r="AJ148" s="33"/>
    </row>
    <row r="149" spans="1:36" x14ac:dyDescent="0.2">
      <c r="A149" s="33"/>
      <c r="B149" s="73"/>
      <c r="C149" s="7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c r="AJ149" s="33"/>
    </row>
    <row r="150" spans="1:36" x14ac:dyDescent="0.2">
      <c r="A150" s="33"/>
      <c r="B150" s="73"/>
      <c r="C150" s="73"/>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33"/>
      <c r="AI150" s="33"/>
      <c r="AJ150" s="33"/>
    </row>
    <row r="151" spans="1:36" x14ac:dyDescent="0.2">
      <c r="A151" s="33"/>
      <c r="B151" s="73"/>
      <c r="C151" s="73"/>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c r="AJ151" s="33"/>
    </row>
    <row r="152" spans="1:36" x14ac:dyDescent="0.2">
      <c r="A152" s="33"/>
      <c r="B152" s="73"/>
      <c r="C152" s="73"/>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c r="AJ152" s="33"/>
    </row>
    <row r="153" spans="1:36" x14ac:dyDescent="0.2">
      <c r="A153" s="33"/>
      <c r="B153" s="73"/>
      <c r="C153" s="73"/>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c r="AJ153" s="33"/>
    </row>
    <row r="154" spans="1:36" x14ac:dyDescent="0.2">
      <c r="A154" s="33"/>
      <c r="B154" s="73"/>
      <c r="C154" s="73"/>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c r="AG154" s="33"/>
      <c r="AH154" s="33"/>
      <c r="AI154" s="33"/>
      <c r="AJ154" s="33"/>
    </row>
    <row r="155" spans="1:36" x14ac:dyDescent="0.2">
      <c r="A155" s="33"/>
      <c r="B155" s="73"/>
      <c r="C155" s="73"/>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c r="AG155" s="33"/>
      <c r="AH155" s="33"/>
      <c r="AI155" s="33"/>
      <c r="AJ155" s="33"/>
    </row>
    <row r="156" spans="1:36" x14ac:dyDescent="0.2">
      <c r="A156" s="33"/>
      <c r="B156" s="73"/>
      <c r="C156" s="73"/>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c r="AJ156" s="33"/>
    </row>
    <row r="157" spans="1:36" x14ac:dyDescent="0.2">
      <c r="A157" s="33"/>
      <c r="B157" s="73"/>
      <c r="C157" s="73"/>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c r="AG157" s="33"/>
      <c r="AH157" s="33"/>
      <c r="AI157" s="33"/>
      <c r="AJ157" s="33"/>
    </row>
    <row r="158" spans="1:36" x14ac:dyDescent="0.2">
      <c r="A158" s="33"/>
      <c r="B158" s="73"/>
      <c r="C158" s="73"/>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c r="AG158" s="33"/>
      <c r="AH158" s="33"/>
      <c r="AI158" s="33"/>
      <c r="AJ158" s="33"/>
    </row>
    <row r="159" spans="1:36" x14ac:dyDescent="0.2">
      <c r="A159" s="33"/>
      <c r="B159" s="73"/>
      <c r="C159" s="73"/>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c r="AD159" s="33"/>
      <c r="AE159" s="33"/>
      <c r="AF159" s="33"/>
      <c r="AG159" s="33"/>
      <c r="AH159" s="33"/>
      <c r="AI159" s="33"/>
      <c r="AJ159" s="33"/>
    </row>
    <row r="160" spans="1:36" x14ac:dyDescent="0.2">
      <c r="A160" s="33"/>
      <c r="B160" s="73"/>
      <c r="C160" s="73"/>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c r="AG160" s="33"/>
      <c r="AH160" s="33"/>
      <c r="AI160" s="33"/>
      <c r="AJ160" s="33"/>
    </row>
    <row r="161" spans="1:36" x14ac:dyDescent="0.2">
      <c r="A161" s="33"/>
      <c r="B161" s="73"/>
      <c r="C161" s="73"/>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c r="AG161" s="33"/>
      <c r="AH161" s="33"/>
      <c r="AI161" s="33"/>
      <c r="AJ161" s="33"/>
    </row>
    <row r="162" spans="1:36" x14ac:dyDescent="0.2">
      <c r="A162" s="33"/>
      <c r="B162" s="73"/>
      <c r="C162" s="7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c r="AJ162" s="33"/>
    </row>
    <row r="163" spans="1:36" x14ac:dyDescent="0.2">
      <c r="A163" s="33"/>
      <c r="B163" s="73"/>
      <c r="C163" s="73"/>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c r="AG163" s="33"/>
      <c r="AH163" s="33"/>
      <c r="AI163" s="33"/>
      <c r="AJ163" s="33"/>
    </row>
    <row r="164" spans="1:36" x14ac:dyDescent="0.2">
      <c r="A164" s="33"/>
      <c r="B164" s="73"/>
      <c r="C164" s="7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c r="AJ164" s="33"/>
    </row>
    <row r="165" spans="1:36" x14ac:dyDescent="0.2">
      <c r="A165" s="33"/>
      <c r="B165" s="73"/>
      <c r="C165" s="73"/>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c r="AJ165" s="33"/>
    </row>
    <row r="166" spans="1:36" x14ac:dyDescent="0.2">
      <c r="A166" s="33"/>
      <c r="B166" s="73"/>
      <c r="C166" s="73"/>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c r="AJ166" s="33"/>
    </row>
    <row r="167" spans="1:36" x14ac:dyDescent="0.2">
      <c r="A167" s="33"/>
      <c r="B167" s="73"/>
      <c r="C167" s="73"/>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3"/>
      <c r="AE167" s="33"/>
      <c r="AF167" s="33"/>
      <c r="AG167" s="33"/>
      <c r="AH167" s="33"/>
      <c r="AI167" s="33"/>
      <c r="AJ167" s="33"/>
    </row>
    <row r="168" spans="1:36" x14ac:dyDescent="0.2">
      <c r="A168" s="33"/>
      <c r="B168" s="73"/>
      <c r="C168" s="73"/>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3"/>
      <c r="AE168" s="33"/>
      <c r="AF168" s="33"/>
      <c r="AG168" s="33"/>
      <c r="AH168" s="33"/>
      <c r="AI168" s="33"/>
      <c r="AJ168" s="33"/>
    </row>
    <row r="169" spans="1:36" x14ac:dyDescent="0.2">
      <c r="A169" s="33"/>
      <c r="B169" s="73"/>
      <c r="C169" s="73"/>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c r="AJ169" s="33"/>
    </row>
    <row r="170" spans="1:36" x14ac:dyDescent="0.2">
      <c r="A170" s="33"/>
      <c r="B170" s="73"/>
      <c r="C170" s="73"/>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c r="AJ170" s="33"/>
    </row>
    <row r="171" spans="1:36" x14ac:dyDescent="0.2">
      <c r="A171" s="33"/>
      <c r="B171" s="73"/>
      <c r="C171" s="73"/>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c r="AJ171" s="33"/>
    </row>
    <row r="172" spans="1:36" x14ac:dyDescent="0.2">
      <c r="A172" s="33"/>
      <c r="B172" s="73"/>
      <c r="C172" s="73"/>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c r="AJ172" s="33"/>
    </row>
    <row r="173" spans="1:36" x14ac:dyDescent="0.2">
      <c r="A173" s="33"/>
      <c r="B173" s="73"/>
      <c r="C173" s="73"/>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c r="AD173" s="33"/>
      <c r="AE173" s="33"/>
      <c r="AF173" s="33"/>
      <c r="AG173" s="33"/>
      <c r="AH173" s="33"/>
      <c r="AI173" s="33"/>
      <c r="AJ173" s="33"/>
    </row>
    <row r="174" spans="1:36" x14ac:dyDescent="0.2">
      <c r="A174" s="33"/>
      <c r="B174" s="73"/>
      <c r="C174" s="73"/>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c r="AJ174" s="33"/>
    </row>
    <row r="175" spans="1:36" x14ac:dyDescent="0.2">
      <c r="A175" s="33"/>
      <c r="B175" s="73"/>
      <c r="C175" s="73"/>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row>
    <row r="176" spans="1:36" x14ac:dyDescent="0.2">
      <c r="A176" s="33"/>
      <c r="B176" s="73"/>
      <c r="C176" s="7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row>
    <row r="177" spans="1:36" x14ac:dyDescent="0.2">
      <c r="A177" s="33"/>
      <c r="B177" s="73"/>
      <c r="C177" s="73"/>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row>
    <row r="178" spans="1:36" x14ac:dyDescent="0.2">
      <c r="A178" s="33"/>
      <c r="B178" s="73"/>
      <c r="C178" s="7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row>
    <row r="179" spans="1:36" x14ac:dyDescent="0.2">
      <c r="A179" s="33"/>
      <c r="B179" s="73"/>
      <c r="C179" s="7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c r="AJ179" s="33"/>
    </row>
    <row r="180" spans="1:36" x14ac:dyDescent="0.2">
      <c r="A180" s="33"/>
      <c r="B180" s="73"/>
      <c r="C180" s="73"/>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c r="AG180" s="33"/>
      <c r="AH180" s="33"/>
      <c r="AI180" s="33"/>
      <c r="AJ180" s="33"/>
    </row>
    <row r="181" spans="1:36" x14ac:dyDescent="0.2">
      <c r="A181" s="33"/>
      <c r="B181" s="73"/>
      <c r="C181" s="7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row>
    <row r="182" spans="1:36" x14ac:dyDescent="0.2">
      <c r="A182" s="33"/>
      <c r="B182" s="73"/>
      <c r="C182" s="73"/>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c r="AG182" s="33"/>
      <c r="AH182" s="33"/>
      <c r="AI182" s="33"/>
      <c r="AJ182" s="33"/>
    </row>
    <row r="183" spans="1:36" x14ac:dyDescent="0.2">
      <c r="A183" s="33"/>
      <c r="B183" s="73"/>
      <c r="C183" s="73"/>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c r="AJ183" s="33"/>
    </row>
    <row r="184" spans="1:36" x14ac:dyDescent="0.2">
      <c r="A184" s="33"/>
      <c r="B184" s="73"/>
      <c r="C184" s="73"/>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c r="AG184" s="33"/>
      <c r="AH184" s="33"/>
      <c r="AI184" s="33"/>
      <c r="AJ184" s="33"/>
    </row>
    <row r="185" spans="1:36" x14ac:dyDescent="0.2">
      <c r="A185" s="33"/>
      <c r="B185" s="73"/>
      <c r="C185" s="73"/>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c r="AG185" s="33"/>
      <c r="AH185" s="33"/>
      <c r="AI185" s="33"/>
      <c r="AJ185" s="33"/>
    </row>
    <row r="186" spans="1:36" x14ac:dyDescent="0.2">
      <c r="A186" s="33"/>
      <c r="B186" s="73"/>
      <c r="C186" s="7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c r="AJ186" s="33"/>
    </row>
    <row r="187" spans="1:36" x14ac:dyDescent="0.2">
      <c r="A187" s="33"/>
      <c r="B187" s="73"/>
      <c r="C187" s="73"/>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c r="AG187" s="33"/>
      <c r="AH187" s="33"/>
      <c r="AI187" s="33"/>
      <c r="AJ187" s="33"/>
    </row>
    <row r="188" spans="1:36" x14ac:dyDescent="0.2">
      <c r="A188" s="33"/>
      <c r="B188" s="73"/>
      <c r="C188" s="73"/>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c r="AJ188" s="33"/>
    </row>
    <row r="189" spans="1:36" x14ac:dyDescent="0.2">
      <c r="A189" s="33"/>
      <c r="B189" s="73"/>
      <c r="C189" s="7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c r="AJ189" s="33"/>
    </row>
    <row r="190" spans="1:36" x14ac:dyDescent="0.2">
      <c r="A190" s="33"/>
      <c r="B190" s="73"/>
      <c r="C190" s="73"/>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c r="AG190" s="33"/>
      <c r="AH190" s="33"/>
      <c r="AI190" s="33"/>
      <c r="AJ190" s="33"/>
    </row>
    <row r="191" spans="1:36" x14ac:dyDescent="0.2">
      <c r="A191" s="33"/>
      <c r="B191" s="73"/>
      <c r="C191" s="73"/>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c r="AJ191" s="33"/>
    </row>
    <row r="192" spans="1:36" x14ac:dyDescent="0.2">
      <c r="A192" s="33"/>
      <c r="B192" s="73"/>
      <c r="C192" s="73"/>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c r="AJ192" s="33"/>
    </row>
    <row r="193" spans="1:36" x14ac:dyDescent="0.2">
      <c r="A193" s="33"/>
      <c r="B193" s="73"/>
      <c r="C193" s="73"/>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c r="AD193" s="33"/>
      <c r="AE193" s="33"/>
      <c r="AF193" s="33"/>
      <c r="AG193" s="33"/>
      <c r="AH193" s="33"/>
      <c r="AI193" s="33"/>
      <c r="AJ193" s="33"/>
    </row>
    <row r="194" spans="1:36" x14ac:dyDescent="0.2">
      <c r="A194" s="33"/>
      <c r="B194" s="73"/>
      <c r="C194" s="73"/>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c r="AG194" s="33"/>
      <c r="AH194" s="33"/>
      <c r="AI194" s="33"/>
      <c r="AJ194" s="33"/>
    </row>
    <row r="195" spans="1:36" x14ac:dyDescent="0.2">
      <c r="A195" s="33"/>
      <c r="B195" s="73"/>
      <c r="C195" s="73"/>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c r="AG195" s="33"/>
      <c r="AH195" s="33"/>
      <c r="AI195" s="33"/>
      <c r="AJ195" s="33"/>
    </row>
    <row r="196" spans="1:36" x14ac:dyDescent="0.2">
      <c r="A196" s="33"/>
      <c r="B196" s="73"/>
      <c r="C196" s="73"/>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c r="AG196" s="33"/>
      <c r="AH196" s="33"/>
      <c r="AI196" s="33"/>
      <c r="AJ196" s="33"/>
    </row>
    <row r="197" spans="1:36" x14ac:dyDescent="0.2">
      <c r="A197" s="33"/>
      <c r="B197" s="73"/>
      <c r="C197" s="73"/>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c r="AJ197" s="33"/>
    </row>
    <row r="198" spans="1:36" x14ac:dyDescent="0.2">
      <c r="A198" s="33"/>
      <c r="B198" s="73"/>
      <c r="C198" s="73"/>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c r="AJ198" s="33"/>
    </row>
    <row r="199" spans="1:36" x14ac:dyDescent="0.2">
      <c r="A199" s="33"/>
      <c r="B199" s="73"/>
      <c r="C199" s="73"/>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c r="AJ199" s="33"/>
    </row>
    <row r="200" spans="1:36" x14ac:dyDescent="0.2">
      <c r="A200" s="33"/>
      <c r="B200" s="73"/>
      <c r="C200" s="73"/>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c r="AJ200" s="33"/>
    </row>
    <row r="201" spans="1:36" x14ac:dyDescent="0.2">
      <c r="A201" s="33"/>
      <c r="B201" s="73"/>
      <c r="C201" s="73"/>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c r="AJ201" s="33"/>
    </row>
    <row r="202" spans="1:36" x14ac:dyDescent="0.2">
      <c r="A202" s="33"/>
      <c r="B202" s="73"/>
      <c r="C202" s="73"/>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c r="AJ202" s="33"/>
    </row>
    <row r="203" spans="1:36" x14ac:dyDescent="0.2">
      <c r="A203" s="33"/>
      <c r="B203" s="73"/>
      <c r="C203" s="73"/>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c r="AJ203" s="33"/>
    </row>
    <row r="204" spans="1:36" x14ac:dyDescent="0.2">
      <c r="A204" s="33"/>
      <c r="B204" s="73"/>
      <c r="C204" s="73"/>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c r="AJ204" s="33"/>
    </row>
    <row r="205" spans="1:36" x14ac:dyDescent="0.2">
      <c r="A205" s="33"/>
      <c r="B205" s="73"/>
      <c r="C205" s="73"/>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c r="AJ205" s="33"/>
    </row>
    <row r="206" spans="1:36" x14ac:dyDescent="0.2">
      <c r="A206" s="33"/>
      <c r="B206" s="73"/>
      <c r="C206" s="73"/>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c r="AJ206" s="33"/>
    </row>
    <row r="207" spans="1:36" x14ac:dyDescent="0.2">
      <c r="A207" s="33"/>
      <c r="B207" s="73"/>
      <c r="C207" s="7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c r="AJ207" s="33"/>
    </row>
    <row r="208" spans="1:36" x14ac:dyDescent="0.2">
      <c r="A208" s="33"/>
      <c r="B208" s="73"/>
      <c r="C208" s="73"/>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c r="AG208" s="33"/>
      <c r="AH208" s="33"/>
      <c r="AI208" s="33"/>
      <c r="AJ208" s="33"/>
    </row>
    <row r="209" spans="1:36" x14ac:dyDescent="0.2">
      <c r="A209" s="33"/>
      <c r="B209" s="73"/>
      <c r="C209" s="73"/>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c r="AG209" s="33"/>
      <c r="AH209" s="33"/>
      <c r="AI209" s="33"/>
      <c r="AJ209" s="33"/>
    </row>
    <row r="210" spans="1:36" x14ac:dyDescent="0.2">
      <c r="A210" s="33"/>
      <c r="B210" s="73"/>
      <c r="C210" s="73"/>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c r="AG210" s="33"/>
      <c r="AH210" s="33"/>
      <c r="AI210" s="33"/>
      <c r="AJ210" s="33"/>
    </row>
    <row r="211" spans="1:36" x14ac:dyDescent="0.2">
      <c r="A211" s="33"/>
      <c r="B211" s="73"/>
      <c r="C211" s="7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row>
    <row r="212" spans="1:36" x14ac:dyDescent="0.2">
      <c r="A212" s="33"/>
      <c r="B212" s="73"/>
      <c r="C212" s="73"/>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c r="AJ212" s="33"/>
    </row>
    <row r="213" spans="1:36" x14ac:dyDescent="0.2">
      <c r="A213" s="33"/>
      <c r="B213" s="73"/>
      <c r="C213" s="73"/>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c r="AJ213" s="33"/>
    </row>
    <row r="214" spans="1:36" x14ac:dyDescent="0.2">
      <c r="A214" s="33"/>
      <c r="B214" s="73"/>
      <c r="C214" s="7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row>
    <row r="215" spans="1:36" x14ac:dyDescent="0.2">
      <c r="A215" s="33"/>
      <c r="B215" s="73"/>
      <c r="C215" s="73"/>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c r="AJ215" s="33"/>
    </row>
    <row r="216" spans="1:36" x14ac:dyDescent="0.2">
      <c r="A216" s="33"/>
      <c r="B216" s="73"/>
      <c r="C216" s="73"/>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c r="AJ216" s="33"/>
    </row>
    <row r="217" spans="1:36" x14ac:dyDescent="0.2">
      <c r="A217" s="33"/>
      <c r="B217" s="73"/>
      <c r="C217" s="7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row>
    <row r="218" spans="1:36" x14ac:dyDescent="0.2">
      <c r="A218" s="33"/>
      <c r="B218" s="73"/>
      <c r="C218" s="73"/>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c r="AF218" s="33"/>
      <c r="AG218" s="33"/>
      <c r="AH218" s="33"/>
      <c r="AI218" s="33"/>
      <c r="AJ218" s="33"/>
    </row>
    <row r="219" spans="1:36" x14ac:dyDescent="0.2">
      <c r="A219" s="33"/>
      <c r="B219" s="73"/>
      <c r="C219" s="73"/>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c r="AJ219" s="33"/>
    </row>
    <row r="220" spans="1:36" x14ac:dyDescent="0.2">
      <c r="A220" s="33"/>
      <c r="B220" s="73"/>
      <c r="C220" s="73"/>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c r="AJ220" s="33"/>
    </row>
    <row r="221" spans="1:36" x14ac:dyDescent="0.2">
      <c r="A221" s="33"/>
      <c r="B221" s="73"/>
      <c r="C221" s="73"/>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c r="AJ221" s="33"/>
    </row>
    <row r="222" spans="1:36" x14ac:dyDescent="0.2">
      <c r="A222" s="33"/>
      <c r="B222" s="73"/>
      <c r="C222" s="73"/>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c r="AG222" s="33"/>
      <c r="AH222" s="33"/>
      <c r="AI222" s="33"/>
      <c r="AJ222" s="33"/>
    </row>
    <row r="223" spans="1:36" x14ac:dyDescent="0.2">
      <c r="A223" s="33"/>
      <c r="B223" s="73"/>
      <c r="C223" s="73"/>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c r="AG223" s="33"/>
      <c r="AH223" s="33"/>
      <c r="AI223" s="33"/>
      <c r="AJ223" s="33"/>
    </row>
    <row r="224" spans="1:36" x14ac:dyDescent="0.2">
      <c r="A224" s="33"/>
      <c r="B224" s="73"/>
      <c r="C224" s="73"/>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c r="AJ224" s="33"/>
    </row>
    <row r="225" spans="1:36" x14ac:dyDescent="0.2">
      <c r="A225" s="33"/>
      <c r="B225" s="73"/>
      <c r="C225" s="73"/>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c r="AJ225" s="33"/>
    </row>
    <row r="226" spans="1:36" x14ac:dyDescent="0.2">
      <c r="A226" s="33"/>
      <c r="B226" s="73"/>
      <c r="C226" s="7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c r="AJ226" s="33"/>
    </row>
    <row r="227" spans="1:36" x14ac:dyDescent="0.2">
      <c r="A227" s="33"/>
      <c r="B227" s="73"/>
      <c r="C227" s="73"/>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c r="AJ227" s="33"/>
    </row>
    <row r="228" spans="1:36" x14ac:dyDescent="0.2">
      <c r="A228" s="33"/>
      <c r="B228" s="73"/>
      <c r="C228" s="73"/>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c r="AG228" s="33"/>
      <c r="AH228" s="33"/>
      <c r="AI228" s="33"/>
      <c r="AJ228" s="33"/>
    </row>
    <row r="229" spans="1:36" x14ac:dyDescent="0.2">
      <c r="A229" s="33"/>
      <c r="B229" s="73"/>
      <c r="C229" s="73"/>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c r="AJ229" s="33"/>
    </row>
    <row r="230" spans="1:36" x14ac:dyDescent="0.2">
      <c r="A230" s="33"/>
      <c r="B230" s="73"/>
      <c r="C230" s="73"/>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c r="AF230" s="33"/>
      <c r="AG230" s="33"/>
      <c r="AH230" s="33"/>
      <c r="AI230" s="33"/>
      <c r="AJ230" s="33"/>
    </row>
    <row r="231" spans="1:36" x14ac:dyDescent="0.2">
      <c r="A231" s="33"/>
      <c r="B231" s="73"/>
      <c r="C231" s="7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row>
    <row r="232" spans="1:36" x14ac:dyDescent="0.2">
      <c r="A232" s="33"/>
      <c r="B232" s="73"/>
      <c r="C232" s="73"/>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c r="AF232" s="33"/>
      <c r="AG232" s="33"/>
      <c r="AH232" s="33"/>
      <c r="AI232" s="33"/>
      <c r="AJ232" s="33"/>
    </row>
    <row r="233" spans="1:36" x14ac:dyDescent="0.2">
      <c r="A233" s="33"/>
      <c r="B233" s="73"/>
      <c r="C233" s="7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row>
    <row r="234" spans="1:36" x14ac:dyDescent="0.2">
      <c r="A234" s="33"/>
      <c r="B234" s="73"/>
      <c r="C234" s="73"/>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c r="AG234" s="33"/>
      <c r="AH234" s="33"/>
      <c r="AI234" s="33"/>
      <c r="AJ234" s="33"/>
    </row>
    <row r="235" spans="1:36" x14ac:dyDescent="0.2">
      <c r="A235" s="33"/>
      <c r="B235" s="73"/>
      <c r="C235" s="7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c r="AJ235" s="33"/>
    </row>
    <row r="236" spans="1:36" x14ac:dyDescent="0.2">
      <c r="A236" s="33"/>
      <c r="B236" s="73"/>
      <c r="C236" s="73"/>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c r="AF236" s="33"/>
      <c r="AG236" s="33"/>
      <c r="AH236" s="33"/>
      <c r="AI236" s="33"/>
      <c r="AJ236" s="33"/>
    </row>
    <row r="237" spans="1:36" x14ac:dyDescent="0.2">
      <c r="A237" s="33"/>
      <c r="B237" s="73"/>
      <c r="C237" s="73"/>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c r="AF237" s="33"/>
      <c r="AG237" s="33"/>
      <c r="AH237" s="33"/>
      <c r="AI237" s="33"/>
      <c r="AJ237" s="33"/>
    </row>
    <row r="238" spans="1:36" x14ac:dyDescent="0.2">
      <c r="A238" s="33"/>
      <c r="B238" s="73"/>
      <c r="C238" s="73"/>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c r="AF238" s="33"/>
      <c r="AG238" s="33"/>
      <c r="AH238" s="33"/>
      <c r="AI238" s="33"/>
      <c r="AJ238" s="33"/>
    </row>
  </sheetData>
  <mergeCells count="2">
    <mergeCell ref="D1:E1"/>
    <mergeCell ref="A1:B1"/>
  </mergeCells>
  <hyperlinks>
    <hyperlink ref="AH2" r:id="rId1"/>
    <hyperlink ref="AH5" r:id="rId2"/>
    <hyperlink ref="AH7" r:id="rId3"/>
    <hyperlink ref="AH4" r:id="rId4"/>
    <hyperlink ref="AH3" r:id="rId5"/>
  </hyperlinks>
  <pageMargins left="0.7" right="0.7" top="0.75" bottom="0.75" header="0.3" footer="0.3"/>
  <pageSetup paperSize="9" orientation="portrait" r:id="rId6"/>
  <drawing r:id="rId7"/>
  <legacyDrawing r:id="rId8"/>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236"/>
  <sheetViews>
    <sheetView topLeftCell="M88" zoomScale="40" zoomScaleNormal="40" workbookViewId="0">
      <selection activeCell="AF1" sqref="AF1:AF1048576"/>
    </sheetView>
  </sheetViews>
  <sheetFormatPr defaultRowHeight="14.25" x14ac:dyDescent="0.2"/>
  <cols>
    <col min="1" max="1" width="36.75" style="85" bestFit="1" customWidth="1"/>
    <col min="2" max="2" width="15.875" style="86" customWidth="1"/>
    <col min="3" max="3" width="99.5" style="86" customWidth="1"/>
    <col min="4" max="4" width="28" style="85" customWidth="1"/>
    <col min="5" max="5" width="84.125" style="85" customWidth="1"/>
    <col min="6" max="6" width="112.375" style="85" customWidth="1"/>
    <col min="7" max="7" width="108.375" style="85" customWidth="1"/>
    <col min="8" max="8" width="72" style="85" customWidth="1"/>
    <col min="9" max="9" width="26.125" style="85" bestFit="1" customWidth="1"/>
    <col min="10" max="10" width="23.125" style="85" bestFit="1" customWidth="1"/>
    <col min="11" max="11" width="25" style="85" bestFit="1" customWidth="1"/>
    <col min="12" max="12" width="40.875" style="85" bestFit="1" customWidth="1"/>
    <col min="13" max="13" width="48.5" style="85" bestFit="1" customWidth="1"/>
    <col min="14" max="14" width="26.375" style="85" bestFit="1" customWidth="1"/>
    <col min="15" max="15" width="21" style="85" bestFit="1" customWidth="1"/>
    <col min="16" max="17" width="28.75" style="85" bestFit="1" customWidth="1"/>
    <col min="18" max="18" width="27.125" style="85" bestFit="1" customWidth="1"/>
    <col min="19" max="19" width="22.875" style="85" bestFit="1" customWidth="1"/>
    <col min="20" max="20" width="26.75" style="85" bestFit="1" customWidth="1"/>
    <col min="21" max="21" width="30" style="85" bestFit="1" customWidth="1"/>
    <col min="22" max="22" width="45.5" style="85" bestFit="1" customWidth="1"/>
    <col min="23" max="23" width="34.5" style="85" bestFit="1" customWidth="1"/>
    <col min="24" max="24" width="35.375" style="85" bestFit="1" customWidth="1"/>
    <col min="25" max="25" width="35.5" style="85" bestFit="1" customWidth="1"/>
    <col min="26" max="26" width="29.625" style="85" bestFit="1" customWidth="1"/>
    <col min="27" max="28" width="41.125" style="85" bestFit="1" customWidth="1"/>
    <col min="29" max="29" width="32.625" style="85" bestFit="1" customWidth="1"/>
    <col min="30" max="30" width="30.625" style="85" bestFit="1" customWidth="1"/>
    <col min="31" max="31" width="0.5" style="85" customWidth="1"/>
    <col min="32" max="32" width="195" style="85" customWidth="1"/>
    <col min="33" max="33" width="15.375" style="85" bestFit="1" customWidth="1"/>
    <col min="34" max="34" width="160.125" style="85" bestFit="1" customWidth="1"/>
    <col min="35" max="36" width="9" style="85"/>
    <col min="37" max="37" width="10" style="85" customWidth="1"/>
    <col min="38" max="16384" width="9" style="85"/>
  </cols>
  <sheetData>
    <row r="1" spans="1:36" s="87" customFormat="1" ht="31.5" customHeight="1" x14ac:dyDescent="0.35">
      <c r="A1" s="137" t="s">
        <v>62</v>
      </c>
      <c r="B1" s="138"/>
      <c r="C1" s="35" t="s">
        <v>160</v>
      </c>
      <c r="D1" s="135" t="s">
        <v>63</v>
      </c>
      <c r="E1" s="136"/>
      <c r="F1" s="36" t="s">
        <v>145</v>
      </c>
      <c r="G1" s="36" t="s">
        <v>161</v>
      </c>
      <c r="H1" s="84" t="s">
        <v>94</v>
      </c>
      <c r="I1" s="36" t="s">
        <v>0</v>
      </c>
      <c r="J1" s="36" t="s">
        <v>110</v>
      </c>
      <c r="K1" s="36" t="s">
        <v>27</v>
      </c>
      <c r="L1" s="36" t="s">
        <v>154</v>
      </c>
      <c r="M1" s="36" t="s">
        <v>28</v>
      </c>
      <c r="N1" s="36" t="s">
        <v>28</v>
      </c>
      <c r="O1" s="36" t="s">
        <v>105</v>
      </c>
      <c r="P1" s="36" t="s">
        <v>151</v>
      </c>
      <c r="Q1" s="36" t="s">
        <v>156</v>
      </c>
      <c r="R1" s="36" t="s">
        <v>106</v>
      </c>
      <c r="S1" s="36" t="s">
        <v>99</v>
      </c>
      <c r="T1" s="36" t="s">
        <v>142</v>
      </c>
      <c r="U1" s="36" t="s">
        <v>107</v>
      </c>
      <c r="V1" s="36" t="s">
        <v>109</v>
      </c>
      <c r="W1" s="36" t="s">
        <v>141</v>
      </c>
      <c r="X1" s="36" t="s">
        <v>140</v>
      </c>
      <c r="Y1" s="36" t="s">
        <v>143</v>
      </c>
      <c r="Z1" s="36" t="s">
        <v>102</v>
      </c>
      <c r="AA1" s="36" t="s">
        <v>139</v>
      </c>
      <c r="AB1" s="36" t="s">
        <v>138</v>
      </c>
      <c r="AC1" s="36" t="s">
        <v>137</v>
      </c>
      <c r="AD1" s="36" t="s">
        <v>157</v>
      </c>
      <c r="AE1" s="36"/>
      <c r="AF1" s="36" t="s">
        <v>158</v>
      </c>
      <c r="AG1" s="36" t="s">
        <v>70</v>
      </c>
      <c r="AH1" s="36"/>
      <c r="AI1" s="76"/>
      <c r="AJ1" s="76"/>
    </row>
    <row r="2" spans="1:36" s="88" customFormat="1" ht="19.5" x14ac:dyDescent="0.35">
      <c r="A2" s="38" t="s">
        <v>155</v>
      </c>
      <c r="B2" s="39">
        <v>719</v>
      </c>
      <c r="C2" s="41"/>
      <c r="D2" s="38" t="s">
        <v>144</v>
      </c>
      <c r="E2" s="40" t="s">
        <v>145</v>
      </c>
      <c r="F2" s="41"/>
      <c r="G2" s="41"/>
      <c r="H2" s="42" t="s">
        <v>29</v>
      </c>
      <c r="I2" s="43">
        <v>0</v>
      </c>
      <c r="J2" s="43">
        <v>0</v>
      </c>
      <c r="K2" s="59">
        <v>0</v>
      </c>
      <c r="L2" s="99">
        <v>0</v>
      </c>
      <c r="M2" s="59">
        <v>0</v>
      </c>
      <c r="N2" s="59">
        <v>0</v>
      </c>
      <c r="O2" s="59">
        <f>N2+8</f>
        <v>8</v>
      </c>
      <c r="P2" s="59">
        <v>0</v>
      </c>
      <c r="Q2" s="59">
        <v>0</v>
      </c>
      <c r="R2" s="59">
        <v>0</v>
      </c>
      <c r="S2" s="59">
        <v>0</v>
      </c>
      <c r="T2" s="59">
        <v>53.644799999999996</v>
      </c>
      <c r="U2" s="59">
        <v>0</v>
      </c>
      <c r="V2" s="99">
        <v>0</v>
      </c>
      <c r="W2" s="59">
        <v>0</v>
      </c>
      <c r="X2" s="59">
        <f t="shared" ref="X2:X28" si="0">$E$23</f>
        <v>7.6635428571428568</v>
      </c>
      <c r="Y2" s="59">
        <f t="shared" ref="Y2:Y28" si="1">0.5*$B$3*$E$14*$E$13*S2*S2</f>
        <v>0</v>
      </c>
      <c r="Z2" s="59">
        <f t="shared" ref="Z2:Z14" si="2">$E$6*$B$5*$B$4</f>
        <v>568.98</v>
      </c>
      <c r="AA2" s="59">
        <f t="shared" ref="AA2:AA28" si="3">$E$6*$B$5*SIN(RADIANS(P2))</f>
        <v>0</v>
      </c>
      <c r="AB2" s="59">
        <f>Y2+Z2+AA2</f>
        <v>568.98</v>
      </c>
      <c r="AC2" s="59">
        <f t="shared" ref="AC2:AC28" si="4">AB2*S2</f>
        <v>0</v>
      </c>
      <c r="AD2" s="59">
        <f>147200-AC2</f>
        <v>147200</v>
      </c>
      <c r="AE2" s="59">
        <f>147200</f>
        <v>147200</v>
      </c>
      <c r="AF2" s="71"/>
      <c r="AG2" s="38">
        <v>1</v>
      </c>
      <c r="AH2" s="9" t="s">
        <v>69</v>
      </c>
      <c r="AI2" s="71"/>
      <c r="AJ2" s="71"/>
    </row>
    <row r="3" spans="1:36" s="88" customFormat="1" ht="18" x14ac:dyDescent="0.25">
      <c r="A3" s="38" t="s">
        <v>165</v>
      </c>
      <c r="B3" s="39">
        <v>1.2</v>
      </c>
      <c r="C3" s="41"/>
      <c r="D3" s="38" t="s">
        <v>148</v>
      </c>
      <c r="E3" s="44">
        <v>575</v>
      </c>
      <c r="F3" s="45"/>
      <c r="G3" s="45"/>
      <c r="H3" s="42" t="s">
        <v>30</v>
      </c>
      <c r="I3" s="43" t="s">
        <v>2</v>
      </c>
      <c r="J3" s="43">
        <v>1</v>
      </c>
      <c r="K3" s="59">
        <v>54</v>
      </c>
      <c r="L3" s="99">
        <f>L2+K3</f>
        <v>54</v>
      </c>
      <c r="M3" s="59">
        <v>6.7</v>
      </c>
      <c r="N3" s="59">
        <v>6.7</v>
      </c>
      <c r="O3" s="59">
        <f>O2+N3</f>
        <v>14.7</v>
      </c>
      <c r="P3" s="59">
        <f>DEGREES(ASIN(N3/K3))</f>
        <v>7.1272878819970913</v>
      </c>
      <c r="Q3" s="59">
        <f>-P2+P3</f>
        <v>7.1272878819970913</v>
      </c>
      <c r="R3" s="59">
        <v>40</v>
      </c>
      <c r="S3" s="59">
        <f>R3/2.237</f>
        <v>17.881090746535538</v>
      </c>
      <c r="T3" s="59">
        <v>53.644799999999996</v>
      </c>
      <c r="U3" s="59">
        <f>K3/S3</f>
        <v>3.0199500000000001</v>
      </c>
      <c r="V3" s="99">
        <f t="shared" ref="V3:V28" si="5">V2+U3</f>
        <v>3.0199500000000001</v>
      </c>
      <c r="W3" s="59">
        <f>-(S2-S3)/U3</f>
        <v>5.9209890052933121</v>
      </c>
      <c r="X3" s="59">
        <f t="shared" si="0"/>
        <v>7.6635428571428568</v>
      </c>
      <c r="Y3" s="59">
        <f t="shared" si="1"/>
        <v>111.44563662817941</v>
      </c>
      <c r="Z3" s="59">
        <f t="shared" si="2"/>
        <v>568.98</v>
      </c>
      <c r="AA3" s="59">
        <f t="shared" si="3"/>
        <v>882.44583333333344</v>
      </c>
      <c r="AB3" s="59">
        <f>Y3+Z3+AA3</f>
        <v>1562.871469961513</v>
      </c>
      <c r="AC3" s="59">
        <f>AB3*S3</f>
        <v>27945.846579553203</v>
      </c>
      <c r="AD3" s="59">
        <f t="shared" ref="AD3:AD28" si="6">147200-AC3</f>
        <v>119254.15342044679</v>
      </c>
      <c r="AE3" s="59">
        <f t="shared" ref="AE3:AE28" si="7">147200</f>
        <v>147200</v>
      </c>
      <c r="AF3" s="71"/>
      <c r="AG3" s="38">
        <v>2</v>
      </c>
      <c r="AH3" s="78" t="s">
        <v>88</v>
      </c>
      <c r="AI3" s="71"/>
      <c r="AJ3" s="71"/>
    </row>
    <row r="4" spans="1:36" s="88" customFormat="1" ht="18" x14ac:dyDescent="0.25">
      <c r="A4" s="38" t="s">
        <v>115</v>
      </c>
      <c r="B4" s="39">
        <v>0.08</v>
      </c>
      <c r="C4" s="41"/>
      <c r="D4" s="38" t="s">
        <v>186</v>
      </c>
      <c r="E4" s="44">
        <v>75</v>
      </c>
      <c r="F4" s="45"/>
      <c r="G4" s="45"/>
      <c r="H4" s="42" t="s">
        <v>30</v>
      </c>
      <c r="I4" s="43" t="s">
        <v>1</v>
      </c>
      <c r="J4" s="43">
        <v>2</v>
      </c>
      <c r="K4" s="59">
        <v>66</v>
      </c>
      <c r="L4" s="99">
        <f t="shared" ref="L4:L28" si="8">L3+K4</f>
        <v>120</v>
      </c>
      <c r="M4" s="59">
        <v>4.8</v>
      </c>
      <c r="N4" s="59">
        <v>4.8</v>
      </c>
      <c r="O4" s="59">
        <f t="shared" ref="O4:O27" si="9">O3+N4</f>
        <v>19.5</v>
      </c>
      <c r="P4" s="59">
        <f>DEGREES(ASIN(N4/K4))</f>
        <v>4.1706479118615389</v>
      </c>
      <c r="Q4" s="59">
        <f>-P3+P4</f>
        <v>-2.9566399701355524</v>
      </c>
      <c r="R4" s="59">
        <v>35</v>
      </c>
      <c r="S4" s="59">
        <f t="shared" ref="S4:S28" si="10">R4/2.237</f>
        <v>15.645954403218596</v>
      </c>
      <c r="T4" s="59">
        <v>53.644799999999996</v>
      </c>
      <c r="U4" s="59">
        <f t="shared" ref="U4:U28" si="11">K4/S4</f>
        <v>4.2183428571428569</v>
      </c>
      <c r="V4" s="99">
        <f t="shared" si="5"/>
        <v>7.2382928571428575</v>
      </c>
      <c r="W4" s="59">
        <f>-(S3-S4)/U4</f>
        <v>-0.52986123200778212</v>
      </c>
      <c r="X4" s="59">
        <f t="shared" si="0"/>
        <v>7.6635428571428568</v>
      </c>
      <c r="Y4" s="59">
        <f t="shared" si="1"/>
        <v>85.325565543449869</v>
      </c>
      <c r="Z4" s="59">
        <f t="shared" si="2"/>
        <v>568.98</v>
      </c>
      <c r="AA4" s="59">
        <f t="shared" si="3"/>
        <v>517.25454545454545</v>
      </c>
      <c r="AB4" s="59">
        <f t="shared" ref="AB4:AB28" si="12">Y4+Z4+AA4</f>
        <v>1171.5601109979953</v>
      </c>
      <c r="AC4" s="59">
        <f t="shared" si="4"/>
        <v>18330.17607730435</v>
      </c>
      <c r="AD4" s="59">
        <f t="shared" si="6"/>
        <v>128869.82392269565</v>
      </c>
      <c r="AE4" s="59">
        <f t="shared" si="7"/>
        <v>147200</v>
      </c>
      <c r="AF4" s="71"/>
      <c r="AG4" s="38">
        <v>3</v>
      </c>
      <c r="AH4" s="78" t="s">
        <v>86</v>
      </c>
      <c r="AI4" s="71"/>
      <c r="AJ4" s="71"/>
    </row>
    <row r="5" spans="1:36" s="88" customFormat="1" ht="18" x14ac:dyDescent="0.25">
      <c r="A5" s="46" t="s">
        <v>103</v>
      </c>
      <c r="B5" s="47">
        <v>9.81</v>
      </c>
      <c r="C5" s="41"/>
      <c r="D5" s="38" t="s">
        <v>185</v>
      </c>
      <c r="E5" s="44">
        <v>2</v>
      </c>
      <c r="F5" s="45"/>
      <c r="G5" s="45"/>
      <c r="H5" s="42" t="s">
        <v>31</v>
      </c>
      <c r="I5" s="43" t="s">
        <v>3</v>
      </c>
      <c r="J5" s="43">
        <v>3</v>
      </c>
      <c r="K5" s="59">
        <v>42</v>
      </c>
      <c r="L5" s="99">
        <f t="shared" si="8"/>
        <v>162</v>
      </c>
      <c r="M5" s="59">
        <v>-2.7</v>
      </c>
      <c r="N5" s="59">
        <v>-2.9</v>
      </c>
      <c r="O5" s="59">
        <f t="shared" si="9"/>
        <v>16.600000000000001</v>
      </c>
      <c r="P5" s="59">
        <f>DEGREES(ASIN(N5/K5))</f>
        <v>-3.9592874494513626</v>
      </c>
      <c r="Q5" s="59">
        <f t="shared" ref="Q5:Q28" si="13">-P4+P5</f>
        <v>-8.1299353613129011</v>
      </c>
      <c r="R5" s="59">
        <v>20</v>
      </c>
      <c r="S5" s="59">
        <f t="shared" si="10"/>
        <v>8.9405453732677689</v>
      </c>
      <c r="T5" s="59">
        <v>53.644799999999996</v>
      </c>
      <c r="U5" s="59">
        <f t="shared" si="11"/>
        <v>4.6977000000000002</v>
      </c>
      <c r="V5" s="99">
        <f t="shared" si="5"/>
        <v>11.935992857142857</v>
      </c>
      <c r="W5" s="59">
        <f t="shared" ref="W5:W23" si="14">-(S4-S5)/U5</f>
        <v>-1.4273812780617807</v>
      </c>
      <c r="X5" s="59">
        <f t="shared" si="0"/>
        <v>7.6635428571428568</v>
      </c>
      <c r="Y5" s="59">
        <f t="shared" si="1"/>
        <v>27.861409157044854</v>
      </c>
      <c r="Z5" s="59">
        <f t="shared" si="2"/>
        <v>568.98</v>
      </c>
      <c r="AA5" s="59">
        <f t="shared" si="3"/>
        <v>-491.0839285714286</v>
      </c>
      <c r="AB5" s="59">
        <f t="shared" si="12"/>
        <v>105.75748058561624</v>
      </c>
      <c r="AC5" s="59">
        <f t="shared" si="4"/>
        <v>945.52955373818713</v>
      </c>
      <c r="AD5" s="59">
        <f t="shared" si="6"/>
        <v>146254.47044626181</v>
      </c>
      <c r="AE5" s="59">
        <f t="shared" si="7"/>
        <v>147200</v>
      </c>
      <c r="AF5" s="71"/>
      <c r="AG5" s="38">
        <v>4</v>
      </c>
      <c r="AH5" s="78" t="s">
        <v>87</v>
      </c>
      <c r="AI5" s="71"/>
      <c r="AJ5" s="71"/>
    </row>
    <row r="6" spans="1:36" s="88" customFormat="1" ht="19.5" x14ac:dyDescent="0.35">
      <c r="A6" s="67"/>
      <c r="B6" s="68"/>
      <c r="C6" s="41"/>
      <c r="D6" s="48" t="s">
        <v>146</v>
      </c>
      <c r="E6" s="44">
        <f>E3+(E4*E5)</f>
        <v>725</v>
      </c>
      <c r="F6" s="79"/>
      <c r="G6" s="41"/>
      <c r="H6" s="42" t="s">
        <v>32</v>
      </c>
      <c r="I6" s="43" t="s">
        <v>4</v>
      </c>
      <c r="J6" s="43">
        <v>4</v>
      </c>
      <c r="K6" s="59">
        <v>14</v>
      </c>
      <c r="L6" s="99">
        <f t="shared" si="8"/>
        <v>176</v>
      </c>
      <c r="M6" s="59">
        <v>-0.8</v>
      </c>
      <c r="N6" s="59">
        <v>-1</v>
      </c>
      <c r="O6" s="59">
        <f t="shared" si="9"/>
        <v>15.600000000000001</v>
      </c>
      <c r="P6" s="59">
        <f t="shared" ref="P6:P23" si="15">DEGREES(ASIN(N6/K6))</f>
        <v>-4.0960437581523328</v>
      </c>
      <c r="Q6" s="59">
        <f t="shared" si="13"/>
        <v>-0.13675630870097022</v>
      </c>
      <c r="R6" s="59">
        <v>10</v>
      </c>
      <c r="S6" s="59">
        <f t="shared" si="10"/>
        <v>4.4702726866338844</v>
      </c>
      <c r="T6" s="59">
        <v>53.644799999999996</v>
      </c>
      <c r="U6" s="59">
        <f t="shared" si="11"/>
        <v>3.1318000000000001</v>
      </c>
      <c r="V6" s="99">
        <f t="shared" si="5"/>
        <v>15.067792857142857</v>
      </c>
      <c r="W6" s="59">
        <f t="shared" si="14"/>
        <v>-1.4273812780617805</v>
      </c>
      <c r="X6" s="59">
        <f t="shared" si="0"/>
        <v>7.6635428571428568</v>
      </c>
      <c r="Y6" s="59">
        <f t="shared" si="1"/>
        <v>6.9653522892612134</v>
      </c>
      <c r="Z6" s="59">
        <f t="shared" si="2"/>
        <v>568.98</v>
      </c>
      <c r="AA6" s="59">
        <f t="shared" si="3"/>
        <v>-508.01785714285711</v>
      </c>
      <c r="AB6" s="59">
        <f t="shared" si="12"/>
        <v>67.927495146404112</v>
      </c>
      <c r="AC6" s="59">
        <f t="shared" si="4"/>
        <v>303.65442622442606</v>
      </c>
      <c r="AD6" s="59">
        <f>147200-AC6</f>
        <v>146896.34557377559</v>
      </c>
      <c r="AE6" s="59">
        <f t="shared" si="7"/>
        <v>147200</v>
      </c>
      <c r="AF6" s="71"/>
      <c r="AG6" s="38">
        <v>5</v>
      </c>
      <c r="AH6" s="38" t="s">
        <v>95</v>
      </c>
      <c r="AI6" s="71"/>
      <c r="AJ6" s="71"/>
    </row>
    <row r="7" spans="1:36" s="88" customFormat="1" ht="18" x14ac:dyDescent="0.25">
      <c r="A7" s="69"/>
      <c r="B7" s="70"/>
      <c r="C7" s="41"/>
      <c r="D7" s="38" t="s">
        <v>75</v>
      </c>
      <c r="E7" s="38" t="s">
        <v>73</v>
      </c>
      <c r="F7" s="41"/>
      <c r="G7" s="41"/>
      <c r="H7" s="42" t="s">
        <v>33</v>
      </c>
      <c r="I7" s="43" t="s">
        <v>5</v>
      </c>
      <c r="J7" s="43">
        <v>5</v>
      </c>
      <c r="K7" s="59">
        <v>5</v>
      </c>
      <c r="L7" s="99">
        <f t="shared" si="8"/>
        <v>181</v>
      </c>
      <c r="M7" s="59">
        <v>-0.5</v>
      </c>
      <c r="N7" s="59">
        <v>-0.7</v>
      </c>
      <c r="O7" s="59">
        <f t="shared" si="9"/>
        <v>14.900000000000002</v>
      </c>
      <c r="P7" s="59">
        <f t="shared" si="15"/>
        <v>-8.0478462473115151</v>
      </c>
      <c r="Q7" s="59">
        <f t="shared" si="13"/>
        <v>-3.9518024891591823</v>
      </c>
      <c r="R7" s="59">
        <v>5</v>
      </c>
      <c r="S7" s="59">
        <f t="shared" si="10"/>
        <v>2.2351363433169422</v>
      </c>
      <c r="T7" s="59">
        <v>53.644799999999996</v>
      </c>
      <c r="U7" s="59">
        <f t="shared" si="11"/>
        <v>2.2370000000000001</v>
      </c>
      <c r="V7" s="99">
        <f t="shared" si="5"/>
        <v>17.304792857142857</v>
      </c>
      <c r="W7" s="59">
        <f t="shared" si="14"/>
        <v>-0.99916689464324637</v>
      </c>
      <c r="X7" s="59">
        <f t="shared" si="0"/>
        <v>7.6635428571428568</v>
      </c>
      <c r="Y7" s="59">
        <f t="shared" si="1"/>
        <v>1.7413380723153034</v>
      </c>
      <c r="Z7" s="59">
        <f t="shared" si="2"/>
        <v>568.98</v>
      </c>
      <c r="AA7" s="59">
        <f t="shared" si="3"/>
        <v>-995.71499999999992</v>
      </c>
      <c r="AB7" s="59">
        <f t="shared" si="12"/>
        <v>-424.99366192768457</v>
      </c>
      <c r="AC7" s="60">
        <f t="shared" si="4"/>
        <v>-949.91877945392162</v>
      </c>
      <c r="AD7" s="60">
        <f t="shared" si="6"/>
        <v>148149.91877945393</v>
      </c>
      <c r="AE7" s="59">
        <f t="shared" si="7"/>
        <v>147200</v>
      </c>
      <c r="AF7" s="71"/>
      <c r="AG7" s="38">
        <v>6</v>
      </c>
      <c r="AH7" s="78" t="s">
        <v>114</v>
      </c>
      <c r="AI7" s="71"/>
      <c r="AJ7" s="71"/>
    </row>
    <row r="8" spans="1:36" s="88" customFormat="1" ht="18" x14ac:dyDescent="0.25">
      <c r="A8" s="69"/>
      <c r="B8" s="70"/>
      <c r="C8" s="41"/>
      <c r="D8" s="38" t="s">
        <v>79</v>
      </c>
      <c r="E8" s="40" t="s">
        <v>76</v>
      </c>
      <c r="F8" s="41"/>
      <c r="G8" s="41"/>
      <c r="H8" s="49" t="s">
        <v>34</v>
      </c>
      <c r="I8" s="50" t="s">
        <v>6</v>
      </c>
      <c r="J8" s="50">
        <v>6</v>
      </c>
      <c r="K8" s="61">
        <v>6</v>
      </c>
      <c r="L8" s="100">
        <f t="shared" si="8"/>
        <v>187</v>
      </c>
      <c r="M8" s="61" t="s">
        <v>52</v>
      </c>
      <c r="N8" s="61">
        <v>-1.5</v>
      </c>
      <c r="O8" s="61">
        <f t="shared" si="9"/>
        <v>13.400000000000002</v>
      </c>
      <c r="P8" s="61">
        <f t="shared" si="15"/>
        <v>-14.477512185929925</v>
      </c>
      <c r="Q8" s="61">
        <f t="shared" si="13"/>
        <v>-6.4296659386184096</v>
      </c>
      <c r="R8" s="61">
        <v>2</v>
      </c>
      <c r="S8" s="61">
        <f t="shared" si="10"/>
        <v>0.89405453732677687</v>
      </c>
      <c r="T8" s="61">
        <v>53.644799999999996</v>
      </c>
      <c r="U8" s="61">
        <f t="shared" si="11"/>
        <v>6.7110000000000003</v>
      </c>
      <c r="V8" s="100">
        <f t="shared" si="5"/>
        <v>24.015792857142856</v>
      </c>
      <c r="W8" s="61">
        <f t="shared" si="14"/>
        <v>-0.19983337892864925</v>
      </c>
      <c r="X8" s="61">
        <f t="shared" si="0"/>
        <v>7.6635428571428568</v>
      </c>
      <c r="Y8" s="61">
        <f t="shared" si="1"/>
        <v>0.27861409157044853</v>
      </c>
      <c r="Z8" s="61">
        <f t="shared" si="2"/>
        <v>568.98</v>
      </c>
      <c r="AA8" s="61">
        <f t="shared" si="3"/>
        <v>-1778.0625</v>
      </c>
      <c r="AB8" s="61">
        <f t="shared" si="12"/>
        <v>-1208.8038859084295</v>
      </c>
      <c r="AC8" s="62">
        <f t="shared" si="4"/>
        <v>-1080.7365989346708</v>
      </c>
      <c r="AD8" s="62">
        <f t="shared" si="6"/>
        <v>148280.73659893466</v>
      </c>
      <c r="AE8" s="59">
        <f t="shared" si="7"/>
        <v>147200</v>
      </c>
      <c r="AF8" s="71"/>
      <c r="AG8" s="71"/>
      <c r="AH8" s="71"/>
      <c r="AI8" s="71"/>
      <c r="AJ8" s="71"/>
    </row>
    <row r="9" spans="1:36" s="88" customFormat="1" ht="18" x14ac:dyDescent="0.25">
      <c r="A9" s="69"/>
      <c r="B9" s="70"/>
      <c r="C9" s="41"/>
      <c r="D9" s="38" t="s">
        <v>80</v>
      </c>
      <c r="E9" s="40" t="s">
        <v>77</v>
      </c>
      <c r="F9" s="41"/>
      <c r="G9" s="41"/>
      <c r="H9" s="49" t="s">
        <v>35</v>
      </c>
      <c r="I9" s="50" t="s">
        <v>7</v>
      </c>
      <c r="J9" s="50">
        <v>7</v>
      </c>
      <c r="K9" s="61">
        <v>6</v>
      </c>
      <c r="L9" s="100">
        <f t="shared" si="8"/>
        <v>193</v>
      </c>
      <c r="M9" s="61" t="s">
        <v>53</v>
      </c>
      <c r="N9" s="61">
        <v>0</v>
      </c>
      <c r="O9" s="61">
        <f t="shared" si="9"/>
        <v>13.400000000000002</v>
      </c>
      <c r="P9" s="61">
        <f t="shared" si="15"/>
        <v>0</v>
      </c>
      <c r="Q9" s="61">
        <f t="shared" si="13"/>
        <v>14.477512185929925</v>
      </c>
      <c r="R9" s="61">
        <v>3</v>
      </c>
      <c r="S9" s="61">
        <f t="shared" si="10"/>
        <v>1.3410818059901652</v>
      </c>
      <c r="T9" s="61">
        <v>53.644799999999996</v>
      </c>
      <c r="U9" s="61">
        <f t="shared" si="11"/>
        <v>4.4740000000000002</v>
      </c>
      <c r="V9" s="100">
        <f t="shared" si="5"/>
        <v>28.489792857142856</v>
      </c>
      <c r="W9" s="61">
        <f t="shared" si="14"/>
        <v>9.9916689464324623E-2</v>
      </c>
      <c r="X9" s="61">
        <f t="shared" si="0"/>
        <v>7.6635428571428568</v>
      </c>
      <c r="Y9" s="61">
        <f t="shared" si="1"/>
        <v>0.62688170603350912</v>
      </c>
      <c r="Z9" s="61">
        <f t="shared" si="2"/>
        <v>568.98</v>
      </c>
      <c r="AA9" s="61">
        <f t="shared" si="3"/>
        <v>0</v>
      </c>
      <c r="AB9" s="61">
        <f t="shared" si="12"/>
        <v>569.6068817060335</v>
      </c>
      <c r="AC9" s="61">
        <f t="shared" si="4"/>
        <v>763.88942562275383</v>
      </c>
      <c r="AD9" s="61">
        <f t="shared" si="6"/>
        <v>146436.11057437724</v>
      </c>
      <c r="AE9" s="59">
        <f t="shared" si="7"/>
        <v>147200</v>
      </c>
      <c r="AF9" s="71"/>
      <c r="AG9" s="71"/>
      <c r="AH9" s="71"/>
      <c r="AI9" s="71"/>
      <c r="AJ9" s="71"/>
    </row>
    <row r="10" spans="1:36" s="88" customFormat="1" ht="18" x14ac:dyDescent="0.25">
      <c r="A10" s="69"/>
      <c r="B10" s="70"/>
      <c r="C10" s="41"/>
      <c r="D10" s="38" t="s">
        <v>81</v>
      </c>
      <c r="E10" s="40" t="s">
        <v>78</v>
      </c>
      <c r="F10" s="41"/>
      <c r="G10" s="41"/>
      <c r="H10" s="42" t="s">
        <v>36</v>
      </c>
      <c r="I10" s="43" t="s">
        <v>8</v>
      </c>
      <c r="J10" s="43">
        <v>8</v>
      </c>
      <c r="K10" s="59">
        <v>69</v>
      </c>
      <c r="L10" s="99">
        <f t="shared" si="8"/>
        <v>262</v>
      </c>
      <c r="M10" s="59">
        <v>-8.8000000000000007</v>
      </c>
      <c r="N10" s="59">
        <v>-9</v>
      </c>
      <c r="O10" s="59">
        <f t="shared" si="9"/>
        <v>4.4000000000000021</v>
      </c>
      <c r="P10" s="59">
        <f t="shared" si="15"/>
        <v>-7.4947174539266861</v>
      </c>
      <c r="Q10" s="59">
        <f t="shared" si="13"/>
        <v>-7.4947174539266861</v>
      </c>
      <c r="R10" s="59">
        <v>30</v>
      </c>
      <c r="S10" s="59">
        <f t="shared" si="10"/>
        <v>13.410818059901654</v>
      </c>
      <c r="T10" s="59">
        <v>53.644799999999996</v>
      </c>
      <c r="U10" s="59">
        <f t="shared" si="11"/>
        <v>5.1451000000000002</v>
      </c>
      <c r="V10" s="99">
        <f t="shared" si="5"/>
        <v>33.634892857142859</v>
      </c>
      <c r="W10" s="59">
        <f t="shared" si="14"/>
        <v>2.3458701004667528</v>
      </c>
      <c r="X10" s="59">
        <f t="shared" si="0"/>
        <v>7.6635428571428568</v>
      </c>
      <c r="Y10" s="59">
        <f t="shared" si="1"/>
        <v>62.688170603350926</v>
      </c>
      <c r="Z10" s="59">
        <f t="shared" si="2"/>
        <v>568.98</v>
      </c>
      <c r="AA10" s="59">
        <f t="shared" si="3"/>
        <v>-927.68478260869563</v>
      </c>
      <c r="AB10" s="59">
        <f t="shared" si="12"/>
        <v>-296.01661200534465</v>
      </c>
      <c r="AC10" s="60">
        <f t="shared" si="4"/>
        <v>-3969.824926312177</v>
      </c>
      <c r="AD10" s="60">
        <f>147200-AC10</f>
        <v>151169.82492631217</v>
      </c>
      <c r="AE10" s="59">
        <f t="shared" si="7"/>
        <v>147200</v>
      </c>
      <c r="AF10" s="71"/>
      <c r="AG10" s="71"/>
      <c r="AH10" s="71"/>
      <c r="AI10" s="71"/>
      <c r="AJ10" s="71"/>
    </row>
    <row r="11" spans="1:36" s="88" customFormat="1" ht="18" x14ac:dyDescent="0.25">
      <c r="A11" s="69"/>
      <c r="B11" s="70"/>
      <c r="C11" s="41"/>
      <c r="D11" s="38" t="s">
        <v>82</v>
      </c>
      <c r="E11" s="40" t="s">
        <v>85</v>
      </c>
      <c r="F11" s="41"/>
      <c r="G11" s="41"/>
      <c r="H11" s="42" t="s">
        <v>37</v>
      </c>
      <c r="I11" s="43" t="s">
        <v>9</v>
      </c>
      <c r="J11" s="43">
        <v>9</v>
      </c>
      <c r="K11" s="59">
        <v>25</v>
      </c>
      <c r="L11" s="99">
        <f t="shared" si="8"/>
        <v>287</v>
      </c>
      <c r="M11" s="59">
        <v>-3</v>
      </c>
      <c r="N11" s="59">
        <v>-3.2</v>
      </c>
      <c r="O11" s="59">
        <f t="shared" si="9"/>
        <v>1.200000000000002</v>
      </c>
      <c r="P11" s="59">
        <f t="shared" si="15"/>
        <v>-7.3540352103988331</v>
      </c>
      <c r="Q11" s="59">
        <f t="shared" si="13"/>
        <v>0.14068224352785297</v>
      </c>
      <c r="R11" s="59">
        <v>20</v>
      </c>
      <c r="S11" s="59">
        <f t="shared" si="10"/>
        <v>8.9405453732677689</v>
      </c>
      <c r="T11" s="59">
        <v>53.644799999999996</v>
      </c>
      <c r="U11" s="59">
        <f t="shared" si="11"/>
        <v>2.7962500000000001</v>
      </c>
      <c r="V11" s="99">
        <f t="shared" si="5"/>
        <v>36.431142857142859</v>
      </c>
      <c r="W11" s="59">
        <f t="shared" si="14"/>
        <v>-1.5986670314291944</v>
      </c>
      <c r="X11" s="59">
        <f t="shared" si="0"/>
        <v>7.6635428571428568</v>
      </c>
      <c r="Y11" s="59">
        <f t="shared" si="1"/>
        <v>27.861409157044854</v>
      </c>
      <c r="Z11" s="59">
        <f t="shared" si="2"/>
        <v>568.98</v>
      </c>
      <c r="AA11" s="59">
        <f t="shared" si="3"/>
        <v>-910.36800000000005</v>
      </c>
      <c r="AB11" s="59">
        <f t="shared" si="12"/>
        <v>-313.52659084295522</v>
      </c>
      <c r="AC11" s="60">
        <f t="shared" si="4"/>
        <v>-2803.0987111574</v>
      </c>
      <c r="AD11" s="60">
        <f t="shared" si="6"/>
        <v>150003.09871115739</v>
      </c>
      <c r="AE11" s="59">
        <f t="shared" si="7"/>
        <v>147200</v>
      </c>
      <c r="AF11" s="71"/>
      <c r="AG11" s="71"/>
      <c r="AH11" s="71"/>
      <c r="AI11" s="71"/>
      <c r="AJ11" s="71"/>
    </row>
    <row r="12" spans="1:36" s="88" customFormat="1" ht="18" x14ac:dyDescent="0.25">
      <c r="A12" s="69"/>
      <c r="B12" s="70"/>
      <c r="C12" s="41"/>
      <c r="D12" s="38" t="s">
        <v>83</v>
      </c>
      <c r="E12" s="40" t="s">
        <v>84</v>
      </c>
      <c r="F12" s="80"/>
      <c r="G12" s="41"/>
      <c r="H12" s="42" t="s">
        <v>39</v>
      </c>
      <c r="I12" s="43" t="s">
        <v>10</v>
      </c>
      <c r="J12" s="43">
        <v>10</v>
      </c>
      <c r="K12" s="59">
        <v>20</v>
      </c>
      <c r="L12" s="99">
        <f t="shared" si="8"/>
        <v>307</v>
      </c>
      <c r="M12" s="59" t="s">
        <v>54</v>
      </c>
      <c r="N12" s="59">
        <v>0</v>
      </c>
      <c r="O12" s="59">
        <f t="shared" si="9"/>
        <v>1.200000000000002</v>
      </c>
      <c r="P12" s="59">
        <f t="shared" si="15"/>
        <v>0</v>
      </c>
      <c r="Q12" s="59">
        <f t="shared" si="13"/>
        <v>7.3540352103988331</v>
      </c>
      <c r="R12" s="59">
        <v>15</v>
      </c>
      <c r="S12" s="59">
        <f t="shared" si="10"/>
        <v>6.7054090299508271</v>
      </c>
      <c r="T12" s="59">
        <v>53.644799999999996</v>
      </c>
      <c r="U12" s="59">
        <f t="shared" si="11"/>
        <v>2.9826666666666668</v>
      </c>
      <c r="V12" s="99">
        <f t="shared" si="5"/>
        <v>39.413809523809526</v>
      </c>
      <c r="W12" s="59">
        <f t="shared" si="14"/>
        <v>-0.74937517098243467</v>
      </c>
      <c r="X12" s="59">
        <f t="shared" si="0"/>
        <v>7.6635428571428568</v>
      </c>
      <c r="Y12" s="59">
        <f t="shared" si="1"/>
        <v>15.672042650837732</v>
      </c>
      <c r="Z12" s="59">
        <f t="shared" si="2"/>
        <v>568.98</v>
      </c>
      <c r="AA12" s="59">
        <f t="shared" si="3"/>
        <v>0</v>
      </c>
      <c r="AB12" s="59">
        <f t="shared" si="12"/>
        <v>584.65204265083776</v>
      </c>
      <c r="AC12" s="59">
        <f t="shared" si="4"/>
        <v>3920.3310861701234</v>
      </c>
      <c r="AD12" s="59">
        <f t="shared" si="6"/>
        <v>143279.66891382987</v>
      </c>
      <c r="AE12" s="59">
        <f t="shared" si="7"/>
        <v>147200</v>
      </c>
      <c r="AF12" s="71"/>
      <c r="AG12" s="71"/>
      <c r="AH12" s="71"/>
      <c r="AI12" s="71"/>
      <c r="AJ12" s="71"/>
    </row>
    <row r="13" spans="1:36" s="88" customFormat="1" ht="18" x14ac:dyDescent="0.25">
      <c r="A13" s="69"/>
      <c r="B13" s="70"/>
      <c r="C13" s="41"/>
      <c r="D13" s="38" t="s">
        <v>149</v>
      </c>
      <c r="E13" s="51">
        <v>1.6597999999999999</v>
      </c>
      <c r="F13" s="81"/>
      <c r="G13" s="41"/>
      <c r="H13" s="42" t="s">
        <v>38</v>
      </c>
      <c r="I13" s="43" t="s">
        <v>11</v>
      </c>
      <c r="J13" s="43">
        <v>11</v>
      </c>
      <c r="K13" s="59">
        <v>53</v>
      </c>
      <c r="L13" s="99">
        <f t="shared" si="8"/>
        <v>360</v>
      </c>
      <c r="M13" s="59">
        <v>6.8</v>
      </c>
      <c r="N13" s="59">
        <v>6.8</v>
      </c>
      <c r="O13" s="59">
        <f t="shared" si="9"/>
        <v>8.0000000000000018</v>
      </c>
      <c r="P13" s="59">
        <f t="shared" si="15"/>
        <v>7.3714758533336164</v>
      </c>
      <c r="Q13" s="59">
        <f t="shared" si="13"/>
        <v>7.3714758533336164</v>
      </c>
      <c r="R13" s="59">
        <v>40</v>
      </c>
      <c r="S13" s="59">
        <f t="shared" si="10"/>
        <v>17.881090746535538</v>
      </c>
      <c r="T13" s="59">
        <v>53.644799999999996</v>
      </c>
      <c r="U13" s="59">
        <f t="shared" si="11"/>
        <v>2.9640250000000004</v>
      </c>
      <c r="V13" s="99">
        <f t="shared" si="5"/>
        <v>42.377834523809526</v>
      </c>
      <c r="W13" s="59">
        <f t="shared" si="14"/>
        <v>3.7704411118613068</v>
      </c>
      <c r="X13" s="59">
        <f t="shared" si="0"/>
        <v>7.6635428571428568</v>
      </c>
      <c r="Y13" s="59">
        <f t="shared" si="1"/>
        <v>111.44563662817941</v>
      </c>
      <c r="Z13" s="59">
        <f t="shared" si="2"/>
        <v>568.98</v>
      </c>
      <c r="AA13" s="59">
        <f t="shared" si="3"/>
        <v>912.51509433962246</v>
      </c>
      <c r="AB13" s="59">
        <f t="shared" si="12"/>
        <v>1592.9407309678018</v>
      </c>
      <c r="AC13" s="59">
        <f t="shared" si="4"/>
        <v>28483.517764287917</v>
      </c>
      <c r="AD13" s="59">
        <f t="shared" si="6"/>
        <v>118716.48223571209</v>
      </c>
      <c r="AE13" s="59">
        <f t="shared" si="7"/>
        <v>147200</v>
      </c>
      <c r="AF13" s="71"/>
      <c r="AG13" s="71"/>
      <c r="AH13" s="71"/>
      <c r="AI13" s="71"/>
      <c r="AJ13" s="71"/>
    </row>
    <row r="14" spans="1:36" s="88" customFormat="1" ht="18" x14ac:dyDescent="0.25">
      <c r="A14" s="69"/>
      <c r="B14" s="70"/>
      <c r="C14" s="41"/>
      <c r="D14" s="38" t="s">
        <v>90</v>
      </c>
      <c r="E14" s="52">
        <v>0.35</v>
      </c>
      <c r="F14" s="41"/>
      <c r="G14" s="45"/>
      <c r="H14" s="42" t="s">
        <v>40</v>
      </c>
      <c r="I14" s="43" t="s">
        <v>12</v>
      </c>
      <c r="J14" s="43">
        <v>12</v>
      </c>
      <c r="K14" s="59">
        <v>12</v>
      </c>
      <c r="L14" s="99">
        <f t="shared" si="8"/>
        <v>372</v>
      </c>
      <c r="M14" s="59">
        <v>1.4</v>
      </c>
      <c r="N14" s="59">
        <v>1.4</v>
      </c>
      <c r="O14" s="59">
        <f t="shared" si="9"/>
        <v>9.4000000000000021</v>
      </c>
      <c r="P14" s="59">
        <f t="shared" si="15"/>
        <v>6.6997651777601872</v>
      </c>
      <c r="Q14" s="59">
        <f t="shared" si="13"/>
        <v>-0.67171067557342923</v>
      </c>
      <c r="R14" s="59">
        <v>35</v>
      </c>
      <c r="S14" s="59">
        <f t="shared" si="10"/>
        <v>15.645954403218596</v>
      </c>
      <c r="T14" s="59">
        <v>53.644799999999996</v>
      </c>
      <c r="U14" s="59">
        <f t="shared" si="11"/>
        <v>0.76697142857142864</v>
      </c>
      <c r="V14" s="99">
        <f t="shared" si="5"/>
        <v>43.144805952380956</v>
      </c>
      <c r="W14" s="59">
        <f t="shared" si="14"/>
        <v>-2.9142367760428014</v>
      </c>
      <c r="X14" s="59">
        <f t="shared" si="0"/>
        <v>7.6635428571428568</v>
      </c>
      <c r="Y14" s="59">
        <f t="shared" si="1"/>
        <v>85.325565543449869</v>
      </c>
      <c r="Z14" s="59">
        <f t="shared" si="2"/>
        <v>568.98</v>
      </c>
      <c r="AA14" s="59">
        <f t="shared" si="3"/>
        <v>829.76250000000016</v>
      </c>
      <c r="AB14" s="59">
        <f t="shared" si="12"/>
        <v>1484.0680655434501</v>
      </c>
      <c r="AC14" s="59">
        <f t="shared" si="4"/>
        <v>23219.661284765647</v>
      </c>
      <c r="AD14" s="59">
        <f t="shared" si="6"/>
        <v>123980.33871523435</v>
      </c>
      <c r="AE14" s="59">
        <f t="shared" si="7"/>
        <v>147200</v>
      </c>
      <c r="AF14" s="71"/>
      <c r="AG14" s="71"/>
      <c r="AH14" s="71"/>
      <c r="AI14" s="71"/>
      <c r="AJ14" s="71"/>
    </row>
    <row r="15" spans="1:36" s="88" customFormat="1" ht="18" x14ac:dyDescent="0.25">
      <c r="A15" s="71"/>
      <c r="B15" s="72"/>
      <c r="C15" s="41"/>
      <c r="D15" s="38" t="s">
        <v>125</v>
      </c>
      <c r="E15" s="40" t="s">
        <v>126</v>
      </c>
      <c r="F15" s="41"/>
      <c r="G15" s="45"/>
      <c r="H15" s="53" t="s">
        <v>41</v>
      </c>
      <c r="I15" s="54" t="s">
        <v>13</v>
      </c>
      <c r="J15" s="54">
        <v>13</v>
      </c>
      <c r="K15" s="63">
        <v>5</v>
      </c>
      <c r="L15" s="100">
        <f t="shared" si="8"/>
        <v>377</v>
      </c>
      <c r="M15" s="63" t="s">
        <v>55</v>
      </c>
      <c r="N15" s="63">
        <v>0.8</v>
      </c>
      <c r="O15" s="63">
        <f t="shared" si="9"/>
        <v>10.200000000000003</v>
      </c>
      <c r="P15" s="63">
        <f t="shared" si="15"/>
        <v>9.2068962213459002</v>
      </c>
      <c r="Q15" s="63">
        <f t="shared" si="13"/>
        <v>2.507131043585713</v>
      </c>
      <c r="R15" s="64">
        <v>35</v>
      </c>
      <c r="S15" s="63">
        <f t="shared" si="10"/>
        <v>15.645954403218596</v>
      </c>
      <c r="T15" s="63">
        <v>53.644799999999996</v>
      </c>
      <c r="U15" s="63">
        <f>K15/S15</f>
        <v>0.31957142857142856</v>
      </c>
      <c r="V15" s="100">
        <f t="shared" si="5"/>
        <v>43.464377380952385</v>
      </c>
      <c r="W15" s="63">
        <f t="shared" si="14"/>
        <v>0</v>
      </c>
      <c r="X15" s="63">
        <f t="shared" si="0"/>
        <v>7.6635428571428568</v>
      </c>
      <c r="Y15" s="63">
        <f t="shared" si="1"/>
        <v>85.325565543449869</v>
      </c>
      <c r="Z15" s="63">
        <v>0</v>
      </c>
      <c r="AA15" s="63">
        <f t="shared" si="3"/>
        <v>1137.96</v>
      </c>
      <c r="AB15" s="63">
        <f t="shared" si="12"/>
        <v>1223.2855655434498</v>
      </c>
      <c r="AC15" s="63">
        <f t="shared" si="4"/>
        <v>19139.470180608289</v>
      </c>
      <c r="AD15" s="63">
        <f t="shared" si="6"/>
        <v>128060.52981939171</v>
      </c>
      <c r="AE15" s="59">
        <f t="shared" si="7"/>
        <v>147200</v>
      </c>
      <c r="AF15" s="71"/>
      <c r="AG15" s="71"/>
      <c r="AH15" s="71"/>
      <c r="AI15" s="71"/>
      <c r="AJ15" s="71"/>
    </row>
    <row r="16" spans="1:36" s="88" customFormat="1" ht="18" x14ac:dyDescent="0.25">
      <c r="A16" s="71"/>
      <c r="B16" s="72"/>
      <c r="C16" s="41"/>
      <c r="D16" s="38" t="s">
        <v>127</v>
      </c>
      <c r="E16" s="40" t="s">
        <v>128</v>
      </c>
      <c r="F16" s="41"/>
      <c r="G16" s="45"/>
      <c r="H16" s="53" t="s">
        <v>42</v>
      </c>
      <c r="I16" s="54" t="s">
        <v>14</v>
      </c>
      <c r="J16" s="54">
        <v>14</v>
      </c>
      <c r="K16" s="63">
        <v>6</v>
      </c>
      <c r="L16" s="100">
        <f t="shared" si="8"/>
        <v>383</v>
      </c>
      <c r="M16" s="63">
        <v>0.4</v>
      </c>
      <c r="N16" s="63">
        <v>0.4</v>
      </c>
      <c r="O16" s="63">
        <f t="shared" si="9"/>
        <v>10.600000000000003</v>
      </c>
      <c r="P16" s="63">
        <f t="shared" si="15"/>
        <v>3.8225537292743441</v>
      </c>
      <c r="Q16" s="63">
        <f t="shared" si="13"/>
        <v>-5.3843424920715561</v>
      </c>
      <c r="R16" s="64">
        <v>35</v>
      </c>
      <c r="S16" s="63">
        <f t="shared" si="10"/>
        <v>15.645954403218596</v>
      </c>
      <c r="T16" s="63">
        <v>53.644799999999996</v>
      </c>
      <c r="U16" s="63">
        <f t="shared" si="11"/>
        <v>0.38348571428571432</v>
      </c>
      <c r="V16" s="100">
        <f t="shared" si="5"/>
        <v>43.847863095238097</v>
      </c>
      <c r="W16" s="63">
        <f t="shared" si="14"/>
        <v>0</v>
      </c>
      <c r="X16" s="63">
        <f t="shared" si="0"/>
        <v>7.6635428571428568</v>
      </c>
      <c r="Y16" s="63">
        <f t="shared" si="1"/>
        <v>85.325565543449869</v>
      </c>
      <c r="Z16" s="63">
        <v>0</v>
      </c>
      <c r="AA16" s="63">
        <f t="shared" si="3"/>
        <v>474.15</v>
      </c>
      <c r="AB16" s="63">
        <f t="shared" si="12"/>
        <v>559.47556554344987</v>
      </c>
      <c r="AC16" s="63">
        <f t="shared" si="4"/>
        <v>8753.5291882077545</v>
      </c>
      <c r="AD16" s="63">
        <f t="shared" si="6"/>
        <v>138446.47081179224</v>
      </c>
      <c r="AE16" s="59">
        <f t="shared" si="7"/>
        <v>147200</v>
      </c>
      <c r="AF16" s="71"/>
      <c r="AG16" s="71"/>
      <c r="AH16" s="71"/>
      <c r="AI16" s="71"/>
      <c r="AJ16" s="71"/>
    </row>
    <row r="17" spans="1:36" s="88" customFormat="1" ht="18" x14ac:dyDescent="0.25">
      <c r="A17" s="71"/>
      <c r="B17" s="72"/>
      <c r="C17" s="41"/>
      <c r="D17" s="38" t="s">
        <v>129</v>
      </c>
      <c r="E17" s="40" t="s">
        <v>130</v>
      </c>
      <c r="F17" s="81"/>
      <c r="G17" s="41"/>
      <c r="H17" s="42" t="s">
        <v>38</v>
      </c>
      <c r="I17" s="43" t="s">
        <v>15</v>
      </c>
      <c r="J17" s="43">
        <v>15</v>
      </c>
      <c r="K17" s="59">
        <v>50</v>
      </c>
      <c r="L17" s="99">
        <f t="shared" si="8"/>
        <v>433</v>
      </c>
      <c r="M17" s="59">
        <v>6</v>
      </c>
      <c r="N17" s="59">
        <v>6</v>
      </c>
      <c r="O17" s="59">
        <f t="shared" si="9"/>
        <v>16.600000000000001</v>
      </c>
      <c r="P17" s="59">
        <f t="shared" si="15"/>
        <v>6.8921025793463802</v>
      </c>
      <c r="Q17" s="59">
        <f t="shared" si="13"/>
        <v>3.069548850072036</v>
      </c>
      <c r="R17" s="59">
        <v>40</v>
      </c>
      <c r="S17" s="59">
        <f t="shared" si="10"/>
        <v>17.881090746535538</v>
      </c>
      <c r="T17" s="59">
        <v>53.644799999999996</v>
      </c>
      <c r="U17" s="59">
        <f t="shared" si="11"/>
        <v>2.7962500000000001</v>
      </c>
      <c r="V17" s="99">
        <f t="shared" si="5"/>
        <v>46.644113095238097</v>
      </c>
      <c r="W17" s="59">
        <f t="shared" si="14"/>
        <v>0.79933351571459699</v>
      </c>
      <c r="X17" s="59">
        <f t="shared" si="0"/>
        <v>7.6635428571428568</v>
      </c>
      <c r="Y17" s="59">
        <f t="shared" si="1"/>
        <v>111.44563662817941</v>
      </c>
      <c r="Z17" s="59">
        <f>$E$6*$B$5*$B$4</f>
        <v>568.98</v>
      </c>
      <c r="AA17" s="59">
        <f t="shared" si="3"/>
        <v>853.46999999999991</v>
      </c>
      <c r="AB17" s="59">
        <f t="shared" si="12"/>
        <v>1533.8956366281793</v>
      </c>
      <c r="AC17" s="59">
        <f t="shared" si="4"/>
        <v>27427.727074263374</v>
      </c>
      <c r="AD17" s="59">
        <f t="shared" si="6"/>
        <v>119772.27292573663</v>
      </c>
      <c r="AE17" s="59">
        <f t="shared" si="7"/>
        <v>147200</v>
      </c>
      <c r="AF17" s="71"/>
      <c r="AG17" s="71"/>
      <c r="AH17" s="71"/>
      <c r="AI17" s="71"/>
      <c r="AJ17" s="71"/>
    </row>
    <row r="18" spans="1:36" s="88" customFormat="1" ht="18" x14ac:dyDescent="0.25">
      <c r="A18" s="71"/>
      <c r="B18" s="72"/>
      <c r="C18" s="41"/>
      <c r="D18" s="38" t="s">
        <v>133</v>
      </c>
      <c r="E18" s="52" t="s">
        <v>132</v>
      </c>
      <c r="F18" s="41"/>
      <c r="G18" s="41"/>
      <c r="H18" s="42" t="s">
        <v>43</v>
      </c>
      <c r="I18" s="43" t="s">
        <v>16</v>
      </c>
      <c r="J18" s="43">
        <v>16</v>
      </c>
      <c r="K18" s="59">
        <v>46</v>
      </c>
      <c r="L18" s="99">
        <f t="shared" si="8"/>
        <v>479</v>
      </c>
      <c r="M18" s="59" t="s">
        <v>56</v>
      </c>
      <c r="N18" s="59">
        <v>-1.6</v>
      </c>
      <c r="O18" s="59">
        <f t="shared" si="9"/>
        <v>15.000000000000002</v>
      </c>
      <c r="P18" s="59">
        <f t="shared" si="15"/>
        <v>-1.9932987419679011</v>
      </c>
      <c r="Q18" s="59">
        <f t="shared" si="13"/>
        <v>-8.8854013213142817</v>
      </c>
      <c r="R18" s="59">
        <v>20</v>
      </c>
      <c r="S18" s="59">
        <f t="shared" si="10"/>
        <v>8.9405453732677689</v>
      </c>
      <c r="T18" s="59">
        <v>53.644799999999996</v>
      </c>
      <c r="U18" s="59">
        <f t="shared" si="11"/>
        <v>5.1451000000000002</v>
      </c>
      <c r="V18" s="99">
        <f t="shared" si="5"/>
        <v>51.789213095238097</v>
      </c>
      <c r="W18" s="59">
        <f t="shared" si="14"/>
        <v>-1.7376815559012981</v>
      </c>
      <c r="X18" s="59">
        <f t="shared" si="0"/>
        <v>7.6635428571428568</v>
      </c>
      <c r="Y18" s="59">
        <f t="shared" si="1"/>
        <v>27.861409157044854</v>
      </c>
      <c r="Z18" s="59">
        <f>$E$6*$B$5*$B$4</f>
        <v>568.98</v>
      </c>
      <c r="AA18" s="59">
        <f t="shared" si="3"/>
        <v>-247.38260869565218</v>
      </c>
      <c r="AB18" s="59">
        <f t="shared" si="12"/>
        <v>349.45880046139268</v>
      </c>
      <c r="AC18" s="59">
        <f t="shared" si="4"/>
        <v>3124.3522616128089</v>
      </c>
      <c r="AD18" s="59">
        <f t="shared" si="6"/>
        <v>144075.6477383872</v>
      </c>
      <c r="AE18" s="59">
        <f t="shared" si="7"/>
        <v>147200</v>
      </c>
      <c r="AF18" s="71"/>
      <c r="AG18" s="71"/>
      <c r="AH18" s="71"/>
      <c r="AI18" s="71"/>
      <c r="AJ18" s="71"/>
    </row>
    <row r="19" spans="1:36" s="88" customFormat="1" ht="18" x14ac:dyDescent="0.25">
      <c r="A19" s="71"/>
      <c r="B19" s="72"/>
      <c r="C19" s="41"/>
      <c r="D19" s="38" t="s">
        <v>65</v>
      </c>
      <c r="E19" s="40" t="s">
        <v>131</v>
      </c>
      <c r="F19" s="45"/>
      <c r="G19" s="41"/>
      <c r="H19" s="42" t="s">
        <v>32</v>
      </c>
      <c r="I19" s="43" t="s">
        <v>17</v>
      </c>
      <c r="J19" s="43">
        <v>17</v>
      </c>
      <c r="K19" s="59">
        <v>25</v>
      </c>
      <c r="L19" s="99">
        <f t="shared" si="8"/>
        <v>504</v>
      </c>
      <c r="M19" s="59">
        <v>-2.2000000000000002</v>
      </c>
      <c r="N19" s="59">
        <v>-2.4</v>
      </c>
      <c r="O19" s="59">
        <f t="shared" si="9"/>
        <v>12.600000000000001</v>
      </c>
      <c r="P19" s="59">
        <f t="shared" si="15"/>
        <v>-5.5088786712030746</v>
      </c>
      <c r="Q19" s="59">
        <f t="shared" si="13"/>
        <v>-3.5155799292351735</v>
      </c>
      <c r="R19" s="59">
        <v>25</v>
      </c>
      <c r="S19" s="59">
        <f t="shared" si="10"/>
        <v>11.175681716584711</v>
      </c>
      <c r="T19" s="59">
        <v>53.644799999999996</v>
      </c>
      <c r="U19" s="59">
        <f t="shared" si="11"/>
        <v>2.2370000000000001</v>
      </c>
      <c r="V19" s="99">
        <f t="shared" si="5"/>
        <v>54.026213095238099</v>
      </c>
      <c r="W19" s="59">
        <f t="shared" si="14"/>
        <v>0.99916689464324615</v>
      </c>
      <c r="X19" s="59">
        <f t="shared" si="0"/>
        <v>7.6635428571428568</v>
      </c>
      <c r="Y19" s="59">
        <f t="shared" si="1"/>
        <v>43.533451807882578</v>
      </c>
      <c r="Z19" s="59">
        <f>$E$6*$B$5*$B$4</f>
        <v>568.98</v>
      </c>
      <c r="AA19" s="59">
        <f t="shared" si="3"/>
        <v>-682.77600000000007</v>
      </c>
      <c r="AB19" s="59">
        <f t="shared" si="12"/>
        <v>-70.262548192117492</v>
      </c>
      <c r="AC19" s="60">
        <f t="shared" si="4"/>
        <v>-785.23187519129954</v>
      </c>
      <c r="AD19" s="60">
        <f t="shared" si="6"/>
        <v>147985.2318751913</v>
      </c>
      <c r="AE19" s="59">
        <f t="shared" si="7"/>
        <v>147200</v>
      </c>
      <c r="AF19" s="71"/>
      <c r="AG19" s="71"/>
      <c r="AH19" s="71"/>
      <c r="AI19" s="71"/>
      <c r="AJ19" s="71"/>
    </row>
    <row r="20" spans="1:36" s="88" customFormat="1" ht="18" x14ac:dyDescent="0.25">
      <c r="A20" s="71"/>
      <c r="B20" s="72"/>
      <c r="C20" s="41"/>
      <c r="D20" s="38" t="s">
        <v>66</v>
      </c>
      <c r="E20" s="44" t="s">
        <v>152</v>
      </c>
      <c r="F20" s="45"/>
      <c r="G20" s="41"/>
      <c r="H20" s="42" t="s">
        <v>44</v>
      </c>
      <c r="I20" s="43" t="s">
        <v>18</v>
      </c>
      <c r="J20" s="43">
        <v>18</v>
      </c>
      <c r="K20" s="59">
        <v>40</v>
      </c>
      <c r="L20" s="99">
        <f t="shared" si="8"/>
        <v>544</v>
      </c>
      <c r="M20" s="59">
        <v>-5.0999999999999996</v>
      </c>
      <c r="N20" s="59">
        <v>-5.3</v>
      </c>
      <c r="O20" s="59">
        <f t="shared" si="9"/>
        <v>7.3000000000000016</v>
      </c>
      <c r="P20" s="59">
        <f t="shared" si="15"/>
        <v>-7.6140817395938853</v>
      </c>
      <c r="Q20" s="59">
        <f t="shared" si="13"/>
        <v>-2.1052030683908107</v>
      </c>
      <c r="R20" s="59">
        <v>35</v>
      </c>
      <c r="S20" s="59">
        <f t="shared" si="10"/>
        <v>15.645954403218596</v>
      </c>
      <c r="T20" s="59">
        <v>53.644799999999996</v>
      </c>
      <c r="U20" s="59">
        <f t="shared" si="11"/>
        <v>2.5565714285714285</v>
      </c>
      <c r="V20" s="99">
        <f t="shared" si="5"/>
        <v>56.582784523809529</v>
      </c>
      <c r="W20" s="59">
        <f t="shared" si="14"/>
        <v>1.7485420656256816</v>
      </c>
      <c r="X20" s="59">
        <f t="shared" si="0"/>
        <v>7.6635428571428568</v>
      </c>
      <c r="Y20" s="59">
        <f t="shared" si="1"/>
        <v>85.325565543449869</v>
      </c>
      <c r="Z20" s="59">
        <f>$E$6*$B$5*$B$4</f>
        <v>568.98</v>
      </c>
      <c r="AA20" s="59">
        <f t="shared" si="3"/>
        <v>-942.37312500000007</v>
      </c>
      <c r="AB20" s="59">
        <f t="shared" si="12"/>
        <v>-288.06755945655016</v>
      </c>
      <c r="AC20" s="60">
        <f t="shared" si="4"/>
        <v>-4507.0919003036461</v>
      </c>
      <c r="AD20" s="60">
        <f t="shared" si="6"/>
        <v>151707.09190030364</v>
      </c>
      <c r="AE20" s="59">
        <f t="shared" si="7"/>
        <v>147200</v>
      </c>
      <c r="AF20" s="71"/>
      <c r="AG20" s="71"/>
      <c r="AH20" s="71"/>
      <c r="AI20" s="71"/>
      <c r="AJ20" s="71"/>
    </row>
    <row r="21" spans="1:36" s="88" customFormat="1" ht="18" x14ac:dyDescent="0.25">
      <c r="A21" s="71"/>
      <c r="B21" s="72"/>
      <c r="C21" s="41"/>
      <c r="D21" s="38" t="s">
        <v>93</v>
      </c>
      <c r="E21" s="44" t="s">
        <v>92</v>
      </c>
      <c r="F21" s="41"/>
      <c r="G21" s="41"/>
      <c r="H21" s="42" t="s">
        <v>45</v>
      </c>
      <c r="I21" s="43" t="s">
        <v>19</v>
      </c>
      <c r="J21" s="43">
        <v>19</v>
      </c>
      <c r="K21" s="59">
        <v>10</v>
      </c>
      <c r="L21" s="99">
        <f t="shared" si="8"/>
        <v>554</v>
      </c>
      <c r="M21" s="59">
        <v>-1.2</v>
      </c>
      <c r="N21" s="59">
        <v>-1.4</v>
      </c>
      <c r="O21" s="59">
        <f t="shared" si="9"/>
        <v>5.9000000000000021</v>
      </c>
      <c r="P21" s="59">
        <f t="shared" si="15"/>
        <v>-8.0478462473115151</v>
      </c>
      <c r="Q21" s="59">
        <f t="shared" si="13"/>
        <v>-0.43376450771762975</v>
      </c>
      <c r="R21" s="59">
        <v>40</v>
      </c>
      <c r="S21" s="59">
        <f t="shared" si="10"/>
        <v>17.881090746535538</v>
      </c>
      <c r="T21" s="59">
        <v>53.644799999999996</v>
      </c>
      <c r="U21" s="59">
        <f t="shared" si="11"/>
        <v>0.55925000000000002</v>
      </c>
      <c r="V21" s="99">
        <f t="shared" si="5"/>
        <v>57.142034523809528</v>
      </c>
      <c r="W21" s="59">
        <f t="shared" si="14"/>
        <v>3.9966675785729846</v>
      </c>
      <c r="X21" s="59">
        <f t="shared" si="0"/>
        <v>7.6635428571428568</v>
      </c>
      <c r="Y21" s="59">
        <f t="shared" si="1"/>
        <v>111.44563662817941</v>
      </c>
      <c r="Z21" s="59">
        <f>$E$6*$B$5*$B$4</f>
        <v>568.98</v>
      </c>
      <c r="AA21" s="59">
        <f t="shared" si="3"/>
        <v>-995.71499999999992</v>
      </c>
      <c r="AB21" s="59">
        <f t="shared" si="12"/>
        <v>-315.28936337182051</v>
      </c>
      <c r="AC21" s="60">
        <f t="shared" si="4"/>
        <v>-5637.7177178689408</v>
      </c>
      <c r="AD21" s="60">
        <f t="shared" si="6"/>
        <v>152837.71771786895</v>
      </c>
      <c r="AE21" s="59">
        <f t="shared" si="7"/>
        <v>147200</v>
      </c>
      <c r="AF21" s="71"/>
      <c r="AG21" s="71"/>
      <c r="AH21" s="71"/>
      <c r="AI21" s="71"/>
      <c r="AJ21" s="71"/>
    </row>
    <row r="22" spans="1:36" s="88" customFormat="1" ht="18" x14ac:dyDescent="0.25">
      <c r="A22" s="71"/>
      <c r="B22" s="72"/>
      <c r="C22" s="41"/>
      <c r="D22" s="41" t="s">
        <v>153</v>
      </c>
      <c r="E22" s="55" t="s">
        <v>150</v>
      </c>
      <c r="F22" s="45"/>
      <c r="G22" s="41"/>
      <c r="H22" s="56" t="s">
        <v>46</v>
      </c>
      <c r="I22" s="57" t="s">
        <v>20</v>
      </c>
      <c r="J22" s="57">
        <v>20</v>
      </c>
      <c r="K22" s="65">
        <v>10</v>
      </c>
      <c r="L22" s="100">
        <f t="shared" si="8"/>
        <v>564</v>
      </c>
      <c r="M22" s="65" t="s">
        <v>159</v>
      </c>
      <c r="N22" s="65">
        <v>1.2</v>
      </c>
      <c r="O22" s="65">
        <f t="shared" si="9"/>
        <v>7.1000000000000023</v>
      </c>
      <c r="P22" s="65">
        <f t="shared" si="15"/>
        <v>6.8921025793463802</v>
      </c>
      <c r="Q22" s="65">
        <f t="shared" si="13"/>
        <v>14.939948826657895</v>
      </c>
      <c r="R22" s="66">
        <v>40</v>
      </c>
      <c r="S22" s="65">
        <f t="shared" si="10"/>
        <v>17.881090746535538</v>
      </c>
      <c r="T22" s="65">
        <v>53.644799999999996</v>
      </c>
      <c r="U22" s="65">
        <f t="shared" si="11"/>
        <v>0.55925000000000002</v>
      </c>
      <c r="V22" s="100">
        <f t="shared" si="5"/>
        <v>57.701284523809527</v>
      </c>
      <c r="W22" s="65">
        <f t="shared" si="14"/>
        <v>0</v>
      </c>
      <c r="X22" s="65">
        <f t="shared" si="0"/>
        <v>7.6635428571428568</v>
      </c>
      <c r="Y22" s="65">
        <f t="shared" si="1"/>
        <v>111.44563662817941</v>
      </c>
      <c r="Z22" s="65">
        <v>0</v>
      </c>
      <c r="AA22" s="65">
        <f t="shared" si="3"/>
        <v>853.46999999999991</v>
      </c>
      <c r="AB22" s="65">
        <f t="shared" si="12"/>
        <v>964.9156366281793</v>
      </c>
      <c r="AC22" s="65">
        <f t="shared" si="4"/>
        <v>17253.744061299585</v>
      </c>
      <c r="AD22" s="65">
        <f t="shared" si="6"/>
        <v>129946.25593870041</v>
      </c>
      <c r="AE22" s="59">
        <f t="shared" si="7"/>
        <v>147200</v>
      </c>
      <c r="AF22" s="71"/>
      <c r="AG22" s="71"/>
      <c r="AH22" s="71"/>
      <c r="AI22" s="71"/>
      <c r="AJ22" s="71"/>
    </row>
    <row r="23" spans="1:36" s="88" customFormat="1" ht="18" x14ac:dyDescent="0.25">
      <c r="A23" s="71"/>
      <c r="B23" s="72"/>
      <c r="C23" s="41"/>
      <c r="D23" s="38" t="s">
        <v>140</v>
      </c>
      <c r="E23" s="44">
        <f>26.8224/3.5</f>
        <v>7.6635428571428568</v>
      </c>
      <c r="F23" s="41"/>
      <c r="G23" s="41"/>
      <c r="H23" s="56" t="s">
        <v>47</v>
      </c>
      <c r="I23" s="57" t="s">
        <v>21</v>
      </c>
      <c r="J23" s="57">
        <v>21</v>
      </c>
      <c r="K23" s="65">
        <v>10</v>
      </c>
      <c r="L23" s="100">
        <f t="shared" si="8"/>
        <v>574</v>
      </c>
      <c r="M23" s="65">
        <v>-1.5</v>
      </c>
      <c r="N23" s="65">
        <v>-1.5</v>
      </c>
      <c r="O23" s="65">
        <f t="shared" si="9"/>
        <v>5.6000000000000023</v>
      </c>
      <c r="P23" s="65">
        <f t="shared" si="15"/>
        <v>-8.6269265586786386</v>
      </c>
      <c r="Q23" s="65">
        <f t="shared" si="13"/>
        <v>-15.519029138025019</v>
      </c>
      <c r="R23" s="66">
        <v>40</v>
      </c>
      <c r="S23" s="65">
        <f t="shared" si="10"/>
        <v>17.881090746535538</v>
      </c>
      <c r="T23" s="65">
        <v>53.644799999999996</v>
      </c>
      <c r="U23" s="65">
        <f t="shared" si="11"/>
        <v>0.55925000000000002</v>
      </c>
      <c r="V23" s="100">
        <f t="shared" si="5"/>
        <v>58.260534523809525</v>
      </c>
      <c r="W23" s="65">
        <f t="shared" si="14"/>
        <v>0</v>
      </c>
      <c r="X23" s="65">
        <f t="shared" si="0"/>
        <v>7.6635428571428568</v>
      </c>
      <c r="Y23" s="65">
        <f t="shared" si="1"/>
        <v>111.44563662817941</v>
      </c>
      <c r="Z23" s="65">
        <v>0</v>
      </c>
      <c r="AA23" s="65">
        <f t="shared" si="3"/>
        <v>-1066.8374999999999</v>
      </c>
      <c r="AB23" s="65">
        <f t="shared" si="12"/>
        <v>-955.39186337182048</v>
      </c>
      <c r="AC23" s="66">
        <f t="shared" si="4"/>
        <v>-17083.448607453203</v>
      </c>
      <c r="AD23" s="66">
        <f t="shared" si="6"/>
        <v>164283.4486074532</v>
      </c>
      <c r="AE23" s="59">
        <f t="shared" si="7"/>
        <v>147200</v>
      </c>
      <c r="AF23" s="71"/>
      <c r="AG23" s="71"/>
      <c r="AH23" s="71"/>
      <c r="AI23" s="71"/>
      <c r="AJ23" s="71"/>
    </row>
    <row r="24" spans="1:36" s="88" customFormat="1" ht="18" x14ac:dyDescent="0.25">
      <c r="A24" s="71"/>
      <c r="B24" s="72"/>
      <c r="C24" s="41"/>
      <c r="D24" s="38" t="s">
        <v>89</v>
      </c>
      <c r="E24" s="40" t="s">
        <v>67</v>
      </c>
      <c r="F24" s="41"/>
      <c r="G24" s="41"/>
      <c r="H24" s="56" t="s">
        <v>48</v>
      </c>
      <c r="I24" s="57" t="s">
        <v>22</v>
      </c>
      <c r="J24" s="57">
        <v>22</v>
      </c>
      <c r="K24" s="65">
        <v>0</v>
      </c>
      <c r="L24" s="100">
        <f t="shared" si="8"/>
        <v>574</v>
      </c>
      <c r="M24" s="65">
        <v>0</v>
      </c>
      <c r="N24" s="65">
        <v>0</v>
      </c>
      <c r="O24" s="65">
        <f t="shared" si="9"/>
        <v>5.6000000000000023</v>
      </c>
      <c r="P24" s="65">
        <v>0</v>
      </c>
      <c r="Q24" s="65">
        <f t="shared" si="13"/>
        <v>8.6269265586786386</v>
      </c>
      <c r="R24" s="66">
        <v>40</v>
      </c>
      <c r="S24" s="65">
        <f t="shared" si="10"/>
        <v>17.881090746535538</v>
      </c>
      <c r="T24" s="65">
        <v>53.644799999999996</v>
      </c>
      <c r="U24" s="65">
        <f t="shared" si="11"/>
        <v>0</v>
      </c>
      <c r="V24" s="100">
        <f t="shared" si="5"/>
        <v>58.260534523809525</v>
      </c>
      <c r="W24" s="65">
        <v>0</v>
      </c>
      <c r="X24" s="65">
        <f t="shared" si="0"/>
        <v>7.6635428571428568</v>
      </c>
      <c r="Y24" s="65">
        <f t="shared" si="1"/>
        <v>111.44563662817941</v>
      </c>
      <c r="Z24" s="65">
        <v>0</v>
      </c>
      <c r="AA24" s="65">
        <f t="shared" si="3"/>
        <v>0</v>
      </c>
      <c r="AB24" s="65">
        <f t="shared" si="12"/>
        <v>111.44563662817941</v>
      </c>
      <c r="AC24" s="65">
        <f t="shared" si="4"/>
        <v>1992.7695418539008</v>
      </c>
      <c r="AD24" s="65">
        <f t="shared" si="6"/>
        <v>145207.23045814611</v>
      </c>
      <c r="AE24" s="59">
        <f t="shared" si="7"/>
        <v>147200</v>
      </c>
      <c r="AF24" s="71"/>
      <c r="AG24" s="71"/>
      <c r="AH24" s="71"/>
      <c r="AI24" s="71"/>
      <c r="AJ24" s="71"/>
    </row>
    <row r="25" spans="1:36" s="88" customFormat="1" ht="18" x14ac:dyDescent="0.25">
      <c r="A25" s="71"/>
      <c r="B25" s="72"/>
      <c r="C25" s="41"/>
      <c r="D25" s="38" t="s">
        <v>71</v>
      </c>
      <c r="E25" s="40" t="s">
        <v>68</v>
      </c>
      <c r="F25" s="41"/>
      <c r="G25" s="41"/>
      <c r="H25" s="42" t="s">
        <v>49</v>
      </c>
      <c r="I25" s="43" t="s">
        <v>23</v>
      </c>
      <c r="J25" s="43">
        <v>23</v>
      </c>
      <c r="K25" s="59">
        <v>26</v>
      </c>
      <c r="L25" s="99">
        <f t="shared" si="8"/>
        <v>600</v>
      </c>
      <c r="M25" s="59">
        <v>-3</v>
      </c>
      <c r="N25" s="59">
        <v>-3.2</v>
      </c>
      <c r="O25" s="59">
        <f t="shared" si="9"/>
        <v>2.4000000000000021</v>
      </c>
      <c r="P25" s="59">
        <f>DEGREES(ASIN(N25/K25))</f>
        <v>-7.0697140423033797</v>
      </c>
      <c r="Q25" s="59">
        <f t="shared" si="13"/>
        <v>-7.0697140423033797</v>
      </c>
      <c r="R25" s="59">
        <v>25</v>
      </c>
      <c r="S25" s="59">
        <f t="shared" si="10"/>
        <v>11.175681716584711</v>
      </c>
      <c r="T25" s="59">
        <v>53.644799999999996</v>
      </c>
      <c r="U25" s="59">
        <f t="shared" si="11"/>
        <v>2.3264800000000001</v>
      </c>
      <c r="V25" s="99">
        <f t="shared" si="5"/>
        <v>60.587014523809529</v>
      </c>
      <c r="W25" s="59">
        <f>-(S24-S25)/U25</f>
        <v>-2.8822121960862876</v>
      </c>
      <c r="X25" s="59">
        <f t="shared" si="0"/>
        <v>7.6635428571428568</v>
      </c>
      <c r="Y25" s="59">
        <f t="shared" si="1"/>
        <v>43.533451807882578</v>
      </c>
      <c r="Z25" s="59">
        <f>$E$6*$B$5*$B$4</f>
        <v>568.98</v>
      </c>
      <c r="AA25" s="59">
        <f t="shared" si="3"/>
        <v>-875.35384615384612</v>
      </c>
      <c r="AB25" s="59">
        <f t="shared" si="12"/>
        <v>-262.84039434596355</v>
      </c>
      <c r="AC25" s="60">
        <f t="shared" si="4"/>
        <v>-2937.4205894721003</v>
      </c>
      <c r="AD25" s="60">
        <f t="shared" si="6"/>
        <v>150137.42058947211</v>
      </c>
      <c r="AE25" s="59">
        <f t="shared" si="7"/>
        <v>147200</v>
      </c>
      <c r="AF25" s="71"/>
      <c r="AG25" s="71"/>
      <c r="AH25" s="71"/>
      <c r="AI25" s="71"/>
      <c r="AJ25" s="71"/>
    </row>
    <row r="26" spans="1:36" s="88" customFormat="1" ht="18" x14ac:dyDescent="0.25">
      <c r="A26" s="71"/>
      <c r="B26" s="72"/>
      <c r="C26" s="41"/>
      <c r="D26" s="38" t="s">
        <v>112</v>
      </c>
      <c r="E26" s="40" t="s">
        <v>113</v>
      </c>
      <c r="F26" s="77"/>
      <c r="G26" s="41"/>
      <c r="H26" s="42" t="s">
        <v>49</v>
      </c>
      <c r="I26" s="43" t="s">
        <v>24</v>
      </c>
      <c r="J26" s="43">
        <v>24</v>
      </c>
      <c r="K26" s="59">
        <v>28</v>
      </c>
      <c r="L26" s="99">
        <f t="shared" si="8"/>
        <v>628</v>
      </c>
      <c r="M26" s="59">
        <v>-1.4</v>
      </c>
      <c r="N26" s="59">
        <v>-1.5</v>
      </c>
      <c r="O26" s="59">
        <f>O25+N26</f>
        <v>0.90000000000000213</v>
      </c>
      <c r="P26" s="59">
        <f>DEGREES(ASIN(N26/K26))</f>
        <v>-3.0708868110748648</v>
      </c>
      <c r="Q26" s="59">
        <f t="shared" si="13"/>
        <v>3.9988272312285149</v>
      </c>
      <c r="R26" s="59">
        <v>30</v>
      </c>
      <c r="S26" s="59">
        <f t="shared" si="10"/>
        <v>13.410818059901654</v>
      </c>
      <c r="T26" s="59">
        <v>53.644799999999996</v>
      </c>
      <c r="U26" s="59">
        <f t="shared" si="11"/>
        <v>2.0878666666666668</v>
      </c>
      <c r="V26" s="99">
        <f t="shared" si="5"/>
        <v>62.674881190476199</v>
      </c>
      <c r="W26" s="59">
        <f>-(S25-S26)/U26</f>
        <v>1.0705359585463361</v>
      </c>
      <c r="X26" s="59">
        <f t="shared" si="0"/>
        <v>7.6635428571428568</v>
      </c>
      <c r="Y26" s="59">
        <f t="shared" si="1"/>
        <v>62.688170603350926</v>
      </c>
      <c r="Z26" s="59">
        <f>$E$6*$B$5*$B$4</f>
        <v>568.98</v>
      </c>
      <c r="AA26" s="59">
        <f t="shared" si="3"/>
        <v>-381.01339285714289</v>
      </c>
      <c r="AB26" s="59">
        <f t="shared" si="12"/>
        <v>250.65477774620808</v>
      </c>
      <c r="AC26" s="59">
        <f t="shared" si="4"/>
        <v>3361.4856201994826</v>
      </c>
      <c r="AD26" s="59">
        <f t="shared" si="6"/>
        <v>143838.51437980053</v>
      </c>
      <c r="AE26" s="59">
        <f t="shared" si="7"/>
        <v>147200</v>
      </c>
      <c r="AF26" s="71"/>
      <c r="AG26" s="71"/>
      <c r="AH26" s="71"/>
      <c r="AI26" s="71"/>
      <c r="AJ26" s="71"/>
    </row>
    <row r="27" spans="1:36" s="88" customFormat="1" ht="18" x14ac:dyDescent="0.25">
      <c r="A27" s="71"/>
      <c r="B27" s="72"/>
      <c r="C27" s="41"/>
      <c r="D27" s="38" t="s">
        <v>74</v>
      </c>
      <c r="E27" s="40" t="s">
        <v>72</v>
      </c>
      <c r="F27" s="71"/>
      <c r="G27" s="45"/>
      <c r="H27" s="38" t="s">
        <v>50</v>
      </c>
      <c r="I27" s="43" t="s">
        <v>25</v>
      </c>
      <c r="J27" s="43">
        <v>25</v>
      </c>
      <c r="K27" s="59">
        <v>90</v>
      </c>
      <c r="L27" s="99">
        <f t="shared" si="8"/>
        <v>718</v>
      </c>
      <c r="M27" s="59">
        <v>7.1</v>
      </c>
      <c r="N27" s="59">
        <v>7.1</v>
      </c>
      <c r="O27" s="59">
        <f t="shared" si="9"/>
        <v>8.0000000000000018</v>
      </c>
      <c r="P27" s="59">
        <f>DEGREES(ASIN(N27/K27))</f>
        <v>4.5247019004531444</v>
      </c>
      <c r="Q27" s="59">
        <f t="shared" si="13"/>
        <v>7.5955887115280092</v>
      </c>
      <c r="R27" s="59">
        <v>40</v>
      </c>
      <c r="S27" s="59">
        <f t="shared" si="10"/>
        <v>17.881090746535538</v>
      </c>
      <c r="T27" s="59">
        <v>53.644799999999996</v>
      </c>
      <c r="U27" s="59">
        <f t="shared" si="11"/>
        <v>5.0332500000000007</v>
      </c>
      <c r="V27" s="99">
        <f t="shared" si="5"/>
        <v>67.708131190476195</v>
      </c>
      <c r="W27" s="59">
        <f>-(S26-S27)/U27</f>
        <v>0.88814835079399657</v>
      </c>
      <c r="X27" s="59">
        <f t="shared" si="0"/>
        <v>7.6635428571428568</v>
      </c>
      <c r="Y27" s="59">
        <f t="shared" si="1"/>
        <v>111.44563662817941</v>
      </c>
      <c r="Z27" s="59">
        <f>$E$6*$B$5*$B$4</f>
        <v>568.98</v>
      </c>
      <c r="AA27" s="59">
        <f t="shared" si="3"/>
        <v>561.07749999999999</v>
      </c>
      <c r="AB27" s="59">
        <f t="shared" si="12"/>
        <v>1241.5031366281794</v>
      </c>
      <c r="AC27" s="59">
        <f t="shared" si="4"/>
        <v>22199.430248156983</v>
      </c>
      <c r="AD27" s="59">
        <f t="shared" si="6"/>
        <v>125000.56975184302</v>
      </c>
      <c r="AE27" s="59">
        <f t="shared" si="7"/>
        <v>147200</v>
      </c>
      <c r="AF27" s="71"/>
      <c r="AG27" s="71"/>
      <c r="AH27" s="71"/>
      <c r="AI27" s="71"/>
      <c r="AJ27" s="71"/>
    </row>
    <row r="28" spans="1:36" s="88" customFormat="1" ht="18" x14ac:dyDescent="0.25">
      <c r="A28" s="71"/>
      <c r="B28" s="72"/>
      <c r="C28" s="41"/>
      <c r="D28" s="71"/>
      <c r="E28" s="71"/>
      <c r="F28" s="71"/>
      <c r="G28" s="58"/>
      <c r="H28" s="38" t="s">
        <v>51</v>
      </c>
      <c r="I28" s="43" t="s">
        <v>26</v>
      </c>
      <c r="J28" s="43">
        <v>0</v>
      </c>
      <c r="K28" s="93">
        <v>1</v>
      </c>
      <c r="L28" s="99">
        <f t="shared" si="8"/>
        <v>719</v>
      </c>
      <c r="M28" s="59">
        <v>0.1</v>
      </c>
      <c r="N28" s="59">
        <v>0.1</v>
      </c>
      <c r="O28" s="59">
        <f>O27+N28</f>
        <v>8.1000000000000014</v>
      </c>
      <c r="P28" s="59">
        <f>DEGREES(ASIN(N28/K28))</f>
        <v>5.7391704772667866</v>
      </c>
      <c r="Q28" s="59">
        <f t="shared" si="13"/>
        <v>1.2144685768136423</v>
      </c>
      <c r="R28" s="59">
        <v>40</v>
      </c>
      <c r="S28" s="59">
        <f t="shared" si="10"/>
        <v>17.881090746535538</v>
      </c>
      <c r="T28" s="59">
        <v>53.644799999999996</v>
      </c>
      <c r="U28" s="59">
        <f t="shared" si="11"/>
        <v>5.5925000000000002E-2</v>
      </c>
      <c r="V28" s="99">
        <f t="shared" si="5"/>
        <v>67.764056190476197</v>
      </c>
      <c r="W28" s="93">
        <f>-(S27-S28)/U28</f>
        <v>0</v>
      </c>
      <c r="X28" s="59">
        <f t="shared" si="0"/>
        <v>7.6635428571428568</v>
      </c>
      <c r="Y28" s="83">
        <f t="shared" si="1"/>
        <v>111.44563662817941</v>
      </c>
      <c r="Z28" s="59">
        <f>$E$6*$B$5*$B$4</f>
        <v>568.98</v>
      </c>
      <c r="AA28" s="59">
        <f t="shared" si="3"/>
        <v>711.22500000000002</v>
      </c>
      <c r="AB28" s="59">
        <f t="shared" si="12"/>
        <v>1391.6506366281794</v>
      </c>
      <c r="AC28" s="59">
        <f t="shared" si="4"/>
        <v>24884.231321022431</v>
      </c>
      <c r="AD28" s="59">
        <f t="shared" si="6"/>
        <v>122315.76867897756</v>
      </c>
      <c r="AE28" s="59">
        <f t="shared" si="7"/>
        <v>147200</v>
      </c>
      <c r="AF28" s="71"/>
      <c r="AG28" s="71"/>
      <c r="AH28" s="71"/>
      <c r="AI28" s="71"/>
      <c r="AJ28" s="71"/>
    </row>
    <row r="29" spans="1:36" s="88" customFormat="1" ht="18" x14ac:dyDescent="0.25">
      <c r="A29" s="71"/>
      <c r="B29" s="72"/>
      <c r="C29" s="41"/>
      <c r="D29" s="71"/>
      <c r="E29" s="71"/>
      <c r="F29" s="71"/>
      <c r="G29" s="69"/>
      <c r="H29" s="71"/>
      <c r="I29" s="72"/>
      <c r="J29" s="72"/>
      <c r="K29" s="71"/>
      <c r="L29" s="69"/>
      <c r="M29" s="71"/>
      <c r="N29" s="71"/>
      <c r="O29" s="69"/>
      <c r="P29" s="71"/>
      <c r="Q29" s="71"/>
      <c r="R29" s="71"/>
      <c r="S29" s="75"/>
      <c r="T29" s="71"/>
      <c r="U29" s="71"/>
      <c r="V29" s="69"/>
      <c r="W29" s="69"/>
      <c r="X29" s="69"/>
      <c r="Y29" s="67"/>
      <c r="Z29" s="71"/>
      <c r="AA29" s="71"/>
      <c r="AB29" s="71"/>
      <c r="AC29" s="71"/>
      <c r="AD29" s="71"/>
      <c r="AE29" s="71"/>
      <c r="AF29" s="71"/>
      <c r="AG29" s="71"/>
      <c r="AH29" s="71"/>
      <c r="AI29" s="71"/>
      <c r="AJ29" s="71"/>
    </row>
    <row r="30" spans="1:36" s="88" customFormat="1" ht="18" x14ac:dyDescent="0.25">
      <c r="A30" s="71"/>
      <c r="B30" s="72"/>
      <c r="C30" s="41"/>
      <c r="D30" s="71"/>
      <c r="E30" s="71"/>
      <c r="F30" s="71"/>
      <c r="G30" s="69"/>
      <c r="H30" s="71"/>
      <c r="I30" s="72"/>
      <c r="J30" s="94" t="s">
        <v>166</v>
      </c>
      <c r="K30" s="38">
        <f>SUM(K2:K28)</f>
        <v>719</v>
      </c>
      <c r="L30" s="71"/>
      <c r="M30" s="95" t="s">
        <v>162</v>
      </c>
      <c r="N30" s="82">
        <f>SUM(N2:N4,N9,N12:N17,N22,N24,N27)</f>
        <v>35.199999999999996</v>
      </c>
      <c r="O30" s="71"/>
      <c r="P30" s="71"/>
      <c r="Q30" s="71"/>
      <c r="R30" s="71"/>
      <c r="S30" s="71"/>
      <c r="T30" s="91" t="s">
        <v>108</v>
      </c>
      <c r="U30" s="92">
        <f>SUM(U3:U28)</f>
        <v>67.764056190476197</v>
      </c>
      <c r="V30" s="90" t="s">
        <v>169</v>
      </c>
      <c r="W30" s="43">
        <f>AVERAGE(W2:W28)</f>
        <v>0.26569683254952897</v>
      </c>
      <c r="X30" s="71"/>
      <c r="Y30" s="71"/>
      <c r="Z30" s="71"/>
      <c r="AA30" s="71"/>
      <c r="AB30" s="90" t="s">
        <v>167</v>
      </c>
      <c r="AC30" s="89">
        <f>SUM(AC2:AC28)/26</f>
        <v>7395.9559995670706</v>
      </c>
      <c r="AD30" s="71"/>
      <c r="AE30" s="71"/>
      <c r="AF30" s="71"/>
      <c r="AG30" s="71"/>
      <c r="AH30" s="71"/>
      <c r="AI30" s="71"/>
      <c r="AJ30" s="71"/>
    </row>
    <row r="31" spans="1:36" ht="18" x14ac:dyDescent="0.25">
      <c r="A31" s="33"/>
      <c r="B31" s="73"/>
      <c r="C31" s="41"/>
      <c r="D31" s="33"/>
      <c r="E31" s="33"/>
      <c r="F31" s="71"/>
      <c r="G31" s="34"/>
      <c r="H31" s="33"/>
      <c r="I31" s="73"/>
      <c r="J31" s="73"/>
      <c r="K31" s="33"/>
      <c r="L31" s="33"/>
      <c r="M31" s="94" t="s">
        <v>163</v>
      </c>
      <c r="N31" s="42">
        <f>SUM(N5:N8,N10:N11,N18:N21,N23,N25:N26)</f>
        <v>-35.200000000000003</v>
      </c>
      <c r="O31" s="33"/>
      <c r="P31" s="33"/>
      <c r="Q31" s="33"/>
      <c r="R31" s="33"/>
      <c r="S31" s="33"/>
      <c r="T31" s="33"/>
      <c r="U31" s="33"/>
      <c r="V31" s="33"/>
      <c r="W31" s="33"/>
      <c r="X31" s="33"/>
      <c r="Y31" s="33"/>
      <c r="Z31" s="33"/>
      <c r="AA31" s="33"/>
      <c r="AB31" s="90" t="s">
        <v>168</v>
      </c>
      <c r="AC31" s="89">
        <f>MAX(AC2:AC28)</f>
        <v>28483.517764287917</v>
      </c>
      <c r="AD31" s="33"/>
      <c r="AE31" s="33"/>
      <c r="AF31" s="33"/>
      <c r="AG31" s="33"/>
      <c r="AH31" s="33"/>
      <c r="AI31" s="33"/>
      <c r="AJ31" s="33"/>
    </row>
    <row r="32" spans="1:36" ht="18" x14ac:dyDescent="0.25">
      <c r="A32" s="33"/>
      <c r="B32" s="73"/>
      <c r="C32" s="41"/>
      <c r="D32" s="33"/>
      <c r="E32" s="33"/>
      <c r="F32" s="71"/>
      <c r="G32" s="34"/>
      <c r="H32" s="33"/>
      <c r="I32" s="73"/>
      <c r="J32" s="73"/>
      <c r="K32" s="33"/>
      <c r="L32" s="33"/>
      <c r="M32" s="94" t="s">
        <v>164</v>
      </c>
      <c r="N32" s="42">
        <f>SUM(N30:N31)</f>
        <v>0</v>
      </c>
      <c r="O32" s="33"/>
      <c r="P32" s="33"/>
      <c r="Q32" s="33"/>
      <c r="R32" s="33"/>
      <c r="S32" s="33"/>
      <c r="T32" s="33"/>
      <c r="U32" s="33"/>
      <c r="V32" s="33"/>
      <c r="W32" s="33"/>
      <c r="X32" s="33"/>
      <c r="Y32" s="33"/>
      <c r="Z32" s="33"/>
      <c r="AA32" s="33"/>
      <c r="AB32" s="33"/>
      <c r="AC32" s="33"/>
      <c r="AD32" s="33"/>
      <c r="AE32" s="33"/>
      <c r="AF32" s="33"/>
      <c r="AG32" s="33"/>
      <c r="AH32" s="33"/>
      <c r="AI32" s="33"/>
      <c r="AJ32" s="33"/>
    </row>
    <row r="33" spans="1:36" ht="18" x14ac:dyDescent="0.25">
      <c r="A33" s="33"/>
      <c r="B33" s="73"/>
      <c r="C33" s="74"/>
      <c r="D33" s="34"/>
      <c r="E33" s="33"/>
      <c r="F33" s="71"/>
      <c r="G33" s="34"/>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row>
    <row r="34" spans="1:36" ht="18" x14ac:dyDescent="0.25">
      <c r="A34" s="33"/>
      <c r="B34" s="73"/>
      <c r="C34" s="73"/>
      <c r="D34" s="33"/>
      <c r="E34" s="33"/>
      <c r="F34" s="71"/>
      <c r="G34" s="34"/>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row>
    <row r="35" spans="1:36" ht="20.25" x14ac:dyDescent="0.25">
      <c r="A35" s="33"/>
      <c r="B35" s="73"/>
      <c r="C35" s="73"/>
      <c r="D35" s="33"/>
      <c r="E35" s="33"/>
      <c r="F35" s="71"/>
      <c r="G35" s="33"/>
      <c r="H35" s="104" t="s">
        <v>94</v>
      </c>
      <c r="I35" s="36" t="s">
        <v>0</v>
      </c>
      <c r="J35" s="36" t="s">
        <v>110</v>
      </c>
      <c r="K35" s="36" t="s">
        <v>172</v>
      </c>
      <c r="L35" s="36" t="s">
        <v>170</v>
      </c>
      <c r="M35" s="36" t="s">
        <v>178</v>
      </c>
      <c r="N35" s="36" t="s">
        <v>189</v>
      </c>
      <c r="O35" s="36" t="s">
        <v>177</v>
      </c>
      <c r="P35" s="36" t="s">
        <v>188</v>
      </c>
      <c r="Q35" s="36" t="s">
        <v>179</v>
      </c>
      <c r="R35" s="36" t="s">
        <v>173</v>
      </c>
      <c r="S35" s="36" t="s">
        <v>190</v>
      </c>
      <c r="T35" s="36" t="s">
        <v>174</v>
      </c>
      <c r="U35" s="36" t="s">
        <v>175</v>
      </c>
      <c r="V35" s="36" t="s">
        <v>176</v>
      </c>
      <c r="W35" s="36" t="s">
        <v>182</v>
      </c>
      <c r="X35" s="36" t="s">
        <v>181</v>
      </c>
      <c r="Y35" s="36" t="s">
        <v>180</v>
      </c>
      <c r="Z35" s="36" t="s">
        <v>183</v>
      </c>
      <c r="AA35" s="36" t="s">
        <v>138</v>
      </c>
      <c r="AB35" s="36" t="s">
        <v>137</v>
      </c>
      <c r="AC35" s="36" t="s">
        <v>157</v>
      </c>
      <c r="AD35" s="36"/>
      <c r="AE35" s="33"/>
      <c r="AF35" s="33"/>
      <c r="AG35" s="33"/>
      <c r="AH35" s="33"/>
      <c r="AI35" s="33"/>
      <c r="AJ35" s="33"/>
    </row>
    <row r="36" spans="1:36" ht="18" x14ac:dyDescent="0.25">
      <c r="A36" s="33"/>
      <c r="B36" s="73"/>
      <c r="C36" s="73"/>
      <c r="D36" s="33"/>
      <c r="E36" s="33"/>
      <c r="F36" s="71"/>
      <c r="G36" s="33"/>
      <c r="H36" s="38" t="s">
        <v>29</v>
      </c>
      <c r="I36" s="43">
        <v>0</v>
      </c>
      <c r="J36" s="38">
        <v>0</v>
      </c>
      <c r="K36" s="38">
        <v>0</v>
      </c>
      <c r="L36" s="38">
        <v>0</v>
      </c>
      <c r="M36" s="93">
        <v>0</v>
      </c>
      <c r="N36" s="38">
        <f>(M36/7.6635)*100</f>
        <v>0</v>
      </c>
      <c r="O36" s="38">
        <f>K36*M36</f>
        <v>0</v>
      </c>
      <c r="P36" s="38">
        <f>O36*2.237</f>
        <v>0</v>
      </c>
      <c r="Q36" s="38">
        <f t="shared" ref="Q36:Q42" si="16">K36*O36</f>
        <v>0</v>
      </c>
      <c r="R36" s="93">
        <f>L358</f>
        <v>0</v>
      </c>
      <c r="S36" s="93">
        <v>0</v>
      </c>
      <c r="T36" s="38">
        <v>0</v>
      </c>
      <c r="U36" s="93">
        <v>8</v>
      </c>
      <c r="V36" s="93">
        <v>0</v>
      </c>
      <c r="W36" s="38">
        <f t="shared" ref="W36:W67" si="17">$E$6*M36</f>
        <v>0</v>
      </c>
      <c r="X36" s="38">
        <f t="shared" ref="X36:X67" si="18">0.5*$B$3*$E$14*$E$13*O36^2</f>
        <v>0</v>
      </c>
      <c r="Y36" s="38">
        <f>$E$6*$B$5*$B$4</f>
        <v>568.98</v>
      </c>
      <c r="Z36" s="38">
        <f>$E$6*$B$5*SIN(RADIANS(V36))</f>
        <v>0</v>
      </c>
      <c r="AA36" s="38">
        <f>X36+Y36+Z36+W36</f>
        <v>568.98</v>
      </c>
      <c r="AB36" s="38">
        <f t="shared" ref="AB36:AB67" si="19">AA36*O36</f>
        <v>0</v>
      </c>
      <c r="AC36" s="38">
        <f>147200-AB36</f>
        <v>147200</v>
      </c>
      <c r="AD36" s="38"/>
      <c r="AE36" s="33"/>
      <c r="AF36" s="33"/>
      <c r="AG36" s="33"/>
      <c r="AH36" s="33"/>
      <c r="AI36" s="33"/>
      <c r="AJ36" s="33"/>
    </row>
    <row r="37" spans="1:36" ht="18" x14ac:dyDescent="0.25">
      <c r="A37" s="33"/>
      <c r="B37" s="73"/>
      <c r="C37" s="73"/>
      <c r="D37" s="33"/>
      <c r="E37" s="33"/>
      <c r="F37" s="71"/>
      <c r="G37" s="33"/>
      <c r="H37" s="38" t="s">
        <v>171</v>
      </c>
      <c r="I37" s="43">
        <v>1</v>
      </c>
      <c r="J37" s="38">
        <v>1</v>
      </c>
      <c r="K37" s="38">
        <v>1</v>
      </c>
      <c r="L37" s="38">
        <v>1</v>
      </c>
      <c r="M37" s="103">
        <v>4.5</v>
      </c>
      <c r="N37" s="38">
        <f>(M37/7.6635)*100</f>
        <v>58.719906048150328</v>
      </c>
      <c r="O37" s="38">
        <f>K37*M37</f>
        <v>4.5</v>
      </c>
      <c r="P37" s="38">
        <f t="shared" ref="P37:P100" si="20">O37*2.237</f>
        <v>10.066500000000001</v>
      </c>
      <c r="Q37" s="38">
        <f t="shared" si="16"/>
        <v>4.5</v>
      </c>
      <c r="R37" s="93">
        <f>Q37+R36</f>
        <v>4.5</v>
      </c>
      <c r="S37" s="93">
        <v>0.8</v>
      </c>
      <c r="T37" s="97">
        <f>Q37*(SIN(RADIANS(S37)))</f>
        <v>6.2829811526153717E-2</v>
      </c>
      <c r="U37" s="93">
        <f>U36+T37</f>
        <v>8.0628298115261536</v>
      </c>
      <c r="V37" s="93">
        <f t="shared" ref="V37:V68" si="21">DEGREES(ASIN(T37/Q37))</f>
        <v>0.79999999999999993</v>
      </c>
      <c r="W37" s="38">
        <f t="shared" si="17"/>
        <v>3262.5</v>
      </c>
      <c r="X37" s="38">
        <f t="shared" si="18"/>
        <v>7.0582994999999995</v>
      </c>
      <c r="Y37" s="38">
        <f>$E$6*$B$5*$B$4</f>
        <v>568.98</v>
      </c>
      <c r="Z37" s="38">
        <f>$E$6*$B$5*SIN(RADIANS(V37))</f>
        <v>99.302517117085955</v>
      </c>
      <c r="AA37" s="38">
        <f t="shared" ref="AA37:AA40" si="22">X37+Y37+Z37+W37</f>
        <v>3937.8408166170857</v>
      </c>
      <c r="AB37" s="38">
        <f t="shared" si="19"/>
        <v>17720.283674776885</v>
      </c>
      <c r="AC37" s="38">
        <f>147200-AB37</f>
        <v>129479.71632522311</v>
      </c>
      <c r="AD37" s="38"/>
      <c r="AE37" s="33"/>
      <c r="AF37" s="33"/>
      <c r="AG37" s="33"/>
      <c r="AH37" s="33"/>
      <c r="AI37" s="33"/>
      <c r="AJ37" s="33"/>
    </row>
    <row r="38" spans="1:36" ht="18" x14ac:dyDescent="0.25">
      <c r="A38" s="33"/>
      <c r="B38" s="73"/>
      <c r="C38" s="73"/>
      <c r="D38" s="33"/>
      <c r="E38" s="33"/>
      <c r="F38" s="71"/>
      <c r="G38" s="33"/>
      <c r="H38" s="38"/>
      <c r="I38" s="43">
        <v>1</v>
      </c>
      <c r="J38" s="38">
        <v>1</v>
      </c>
      <c r="K38" s="38">
        <v>1</v>
      </c>
      <c r="L38" s="38">
        <v>2</v>
      </c>
      <c r="M38" s="103">
        <v>5.8330000000000002</v>
      </c>
      <c r="N38" s="38">
        <f t="shared" ref="N38:N101" si="23">(M38/7.6635)*100</f>
        <v>76.114047106413523</v>
      </c>
      <c r="O38" s="38">
        <f>(K38*M38)+O37</f>
        <v>10.333</v>
      </c>
      <c r="P38" s="38">
        <f t="shared" si="20"/>
        <v>23.114921000000002</v>
      </c>
      <c r="Q38" s="38">
        <f t="shared" si="16"/>
        <v>10.333</v>
      </c>
      <c r="R38" s="93">
        <f t="shared" ref="R38:R39" si="24">Q38+R37</f>
        <v>14.833</v>
      </c>
      <c r="S38" s="93">
        <v>0.8</v>
      </c>
      <c r="T38" s="97">
        <f t="shared" ref="T38:T101" si="25">Q38*(SIN(RADIANS(S38)))</f>
        <v>0.14427120944438809</v>
      </c>
      <c r="U38" s="93">
        <f>U37+T38</f>
        <v>8.2071010209705424</v>
      </c>
      <c r="V38" s="93">
        <f t="shared" si="21"/>
        <v>0.8</v>
      </c>
      <c r="W38" s="38">
        <f t="shared" si="17"/>
        <v>4228.9250000000002</v>
      </c>
      <c r="X38" s="38">
        <f t="shared" si="18"/>
        <v>37.215847528062</v>
      </c>
      <c r="Y38" s="38">
        <f>$E$6*$B$5*$B$4</f>
        <v>568.98</v>
      </c>
      <c r="Z38" s="38">
        <f>$E$6*$B$5*SIN(RADIANS(V38))</f>
        <v>99.302517117085955</v>
      </c>
      <c r="AA38" s="38">
        <f t="shared" si="22"/>
        <v>4934.4233646451485</v>
      </c>
      <c r="AB38" s="38">
        <f t="shared" si="19"/>
        <v>50987.396626878319</v>
      </c>
      <c r="AC38" s="38">
        <f t="shared" ref="AC38:AC101" si="26">147200-AB38</f>
        <v>96212.603373121674</v>
      </c>
      <c r="AD38" s="38"/>
      <c r="AE38" s="33"/>
      <c r="AF38" s="33"/>
      <c r="AG38" s="33"/>
      <c r="AH38" s="33"/>
      <c r="AI38" s="33"/>
      <c r="AJ38" s="33"/>
    </row>
    <row r="39" spans="1:36" ht="18" x14ac:dyDescent="0.25">
      <c r="A39" s="33"/>
      <c r="B39" s="73"/>
      <c r="C39" s="73"/>
      <c r="D39" s="33"/>
      <c r="E39" s="33"/>
      <c r="F39" s="71"/>
      <c r="G39" s="33"/>
      <c r="H39" s="38"/>
      <c r="I39" s="43">
        <v>1</v>
      </c>
      <c r="J39" s="38">
        <v>1</v>
      </c>
      <c r="K39" s="38">
        <v>1</v>
      </c>
      <c r="L39" s="38">
        <v>3</v>
      </c>
      <c r="M39" s="103">
        <v>6.1</v>
      </c>
      <c r="N39" s="38">
        <f t="shared" si="23"/>
        <v>79.598094865270426</v>
      </c>
      <c r="O39" s="38">
        <f t="shared" ref="O39:O102" si="27">(K39*M39)+O38</f>
        <v>16.433</v>
      </c>
      <c r="P39" s="38">
        <f t="shared" si="20"/>
        <v>36.760621</v>
      </c>
      <c r="Q39" s="38">
        <f t="shared" si="16"/>
        <v>16.433</v>
      </c>
      <c r="R39" s="93">
        <f t="shared" si="24"/>
        <v>31.265999999999998</v>
      </c>
      <c r="S39" s="93">
        <v>0.86</v>
      </c>
      <c r="T39" s="97">
        <f t="shared" si="25"/>
        <v>0.24664730049717024</v>
      </c>
      <c r="U39" s="93">
        <f>U38+T39</f>
        <v>8.453748321467712</v>
      </c>
      <c r="V39" s="93">
        <f t="shared" si="21"/>
        <v>0.8600000000000001</v>
      </c>
      <c r="W39" s="38">
        <f t="shared" si="17"/>
        <v>4422.5</v>
      </c>
      <c r="X39" s="38">
        <f t="shared" si="18"/>
        <v>94.125818438861998</v>
      </c>
      <c r="Y39" s="38">
        <f>$E$6*$B$5*$B$4</f>
        <v>568.98</v>
      </c>
      <c r="Z39" s="38">
        <f>$E$6*$B$5*SIN(RADIANS(V39))</f>
        <v>106.7496660963305</v>
      </c>
      <c r="AA39" s="38">
        <f t="shared" si="22"/>
        <v>5192.3554845351928</v>
      </c>
      <c r="AB39" s="38">
        <f t="shared" si="19"/>
        <v>85325.977677366827</v>
      </c>
      <c r="AC39" s="38">
        <f t="shared" si="26"/>
        <v>61874.022322633173</v>
      </c>
      <c r="AD39" s="38"/>
      <c r="AE39" s="33"/>
      <c r="AF39" s="33"/>
      <c r="AG39" s="33"/>
      <c r="AH39" s="33"/>
      <c r="AI39" s="33"/>
      <c r="AJ39" s="33"/>
    </row>
    <row r="40" spans="1:36" ht="18" x14ac:dyDescent="0.25">
      <c r="A40" s="33"/>
      <c r="B40" s="33"/>
      <c r="C40" s="73"/>
      <c r="D40" s="33"/>
      <c r="E40" s="33"/>
      <c r="F40" s="71"/>
      <c r="G40" s="33"/>
      <c r="H40" s="38"/>
      <c r="I40" s="43">
        <v>2</v>
      </c>
      <c r="J40" s="38">
        <v>1</v>
      </c>
      <c r="K40" s="38">
        <v>1</v>
      </c>
      <c r="L40" s="98">
        <v>4</v>
      </c>
      <c r="M40" s="103">
        <v>6.3</v>
      </c>
      <c r="N40" s="38">
        <f t="shared" si="23"/>
        <v>82.207868467410449</v>
      </c>
      <c r="O40" s="38">
        <f t="shared" si="27"/>
        <v>22.733000000000001</v>
      </c>
      <c r="P40" s="38">
        <f t="shared" si="20"/>
        <v>50.853721</v>
      </c>
      <c r="Q40" s="38">
        <f t="shared" si="16"/>
        <v>22.733000000000001</v>
      </c>
      <c r="R40" s="100">
        <f>Q40+R39</f>
        <v>53.998999999999995</v>
      </c>
      <c r="S40" s="93">
        <v>7.1272878819970913</v>
      </c>
      <c r="T40" s="97">
        <f>Q40*(SIN(RADIANS(S40)))</f>
        <v>2.8205759259259264</v>
      </c>
      <c r="U40" s="100">
        <f>U39+T40</f>
        <v>11.274324247393638</v>
      </c>
      <c r="V40" s="93">
        <f t="shared" si="21"/>
        <v>7.1272878819970913</v>
      </c>
      <c r="W40" s="38">
        <f t="shared" si="17"/>
        <v>4567.5</v>
      </c>
      <c r="X40" s="38">
        <f t="shared" si="18"/>
        <v>180.131040995262</v>
      </c>
      <c r="Y40" s="38">
        <f>$E$6*$B$5*$B$4</f>
        <v>568.98</v>
      </c>
      <c r="Z40" s="38">
        <f>$E$6*$B$5*SIN(RADIANS(V40))</f>
        <v>882.44583333333344</v>
      </c>
      <c r="AA40" s="38">
        <f t="shared" si="22"/>
        <v>6199.0568743285949</v>
      </c>
      <c r="AB40" s="38">
        <f t="shared" si="19"/>
        <v>140923.15992411194</v>
      </c>
      <c r="AC40" s="38">
        <f t="shared" si="26"/>
        <v>6276.8400758880598</v>
      </c>
      <c r="AD40" s="38"/>
      <c r="AE40" s="33"/>
      <c r="AF40" s="33"/>
      <c r="AG40" s="33"/>
      <c r="AH40" s="33"/>
      <c r="AI40" s="33"/>
      <c r="AJ40" s="33"/>
    </row>
    <row r="41" spans="1:36" ht="18" x14ac:dyDescent="0.25">
      <c r="A41" s="33"/>
      <c r="B41" s="33"/>
      <c r="C41" s="73"/>
      <c r="D41" s="33"/>
      <c r="E41" s="33"/>
      <c r="F41" s="71"/>
      <c r="G41" s="33"/>
      <c r="H41" s="38"/>
      <c r="I41" s="43">
        <v>2</v>
      </c>
      <c r="J41" s="38">
        <v>1</v>
      </c>
      <c r="K41" s="38">
        <v>1</v>
      </c>
      <c r="L41" s="38">
        <v>5</v>
      </c>
      <c r="M41" s="103">
        <v>-1.9</v>
      </c>
      <c r="N41" s="38">
        <f t="shared" si="23"/>
        <v>-24.792849220330133</v>
      </c>
      <c r="O41" s="38">
        <f t="shared" si="27"/>
        <v>20.833000000000002</v>
      </c>
      <c r="P41" s="38">
        <f t="shared" si="20"/>
        <v>46.603421000000004</v>
      </c>
      <c r="Q41" s="38">
        <f t="shared" si="16"/>
        <v>20.833000000000002</v>
      </c>
      <c r="R41" s="93">
        <f t="shared" ref="R41:R104" si="28">Q41+R40</f>
        <v>74.831999999999994</v>
      </c>
      <c r="S41" s="93">
        <v>7.1272878819970913</v>
      </c>
      <c r="T41" s="97">
        <f t="shared" si="25"/>
        <v>2.5848351851851858</v>
      </c>
      <c r="U41" s="93">
        <f t="shared" ref="U41:U103" si="29">U40+T41</f>
        <v>13.859159432578824</v>
      </c>
      <c r="V41" s="93">
        <f t="shared" si="21"/>
        <v>7.1272878819970931</v>
      </c>
      <c r="W41" s="38">
        <f t="shared" si="17"/>
        <v>-1377.5</v>
      </c>
      <c r="X41" s="38">
        <f t="shared" si="18"/>
        <v>151.27901312206203</v>
      </c>
      <c r="Y41" s="38">
        <f t="shared" ref="Y41:Y104" si="30">$E$6*$B$5*$B$4</f>
        <v>568.98</v>
      </c>
      <c r="Z41" s="38">
        <f t="shared" ref="Z41:Z104" si="31">$E$6*$B$5*SIN(RADIANS(V41))</f>
        <v>882.44583333333367</v>
      </c>
      <c r="AA41" s="38">
        <f t="shared" ref="AA41:AA104" si="32">X41+Y41+Z41+W41</f>
        <v>225.20484645539568</v>
      </c>
      <c r="AB41" s="38">
        <f t="shared" si="19"/>
        <v>4691.692566205259</v>
      </c>
      <c r="AC41" s="38">
        <f t="shared" si="26"/>
        <v>142508.30743379475</v>
      </c>
      <c r="AD41" s="71"/>
      <c r="AE41" s="33"/>
      <c r="AF41" s="33"/>
      <c r="AG41" s="33"/>
      <c r="AH41" s="33"/>
      <c r="AI41" s="33"/>
      <c r="AJ41" s="33"/>
    </row>
    <row r="42" spans="1:36" ht="18" x14ac:dyDescent="0.25">
      <c r="A42" s="33"/>
      <c r="B42" s="33"/>
      <c r="C42" s="73"/>
      <c r="D42" s="33"/>
      <c r="E42" s="33"/>
      <c r="F42" s="33"/>
      <c r="G42" s="33"/>
      <c r="H42" s="38"/>
      <c r="I42" s="39">
        <v>2</v>
      </c>
      <c r="J42" s="38">
        <v>1</v>
      </c>
      <c r="K42" s="38">
        <v>1</v>
      </c>
      <c r="L42" s="38">
        <v>6</v>
      </c>
      <c r="M42" s="103">
        <v>-2.65</v>
      </c>
      <c r="N42" s="38">
        <f t="shared" si="23"/>
        <v>-34.579500228355187</v>
      </c>
      <c r="O42" s="38">
        <f t="shared" si="27"/>
        <v>18.183000000000003</v>
      </c>
      <c r="P42" s="38">
        <f t="shared" si="20"/>
        <v>40.675371000000013</v>
      </c>
      <c r="Q42" s="38">
        <f t="shared" si="16"/>
        <v>18.183000000000003</v>
      </c>
      <c r="R42" s="93">
        <f t="shared" si="28"/>
        <v>93.015000000000001</v>
      </c>
      <c r="S42" s="93">
        <v>7.1272878819970913</v>
      </c>
      <c r="T42" s="97">
        <f t="shared" si="25"/>
        <v>2.2560388888888894</v>
      </c>
      <c r="U42" s="93">
        <f t="shared" si="29"/>
        <v>16.115198321467712</v>
      </c>
      <c r="V42" s="93">
        <f t="shared" si="21"/>
        <v>7.1272878819970913</v>
      </c>
      <c r="W42" s="38">
        <f t="shared" si="17"/>
        <v>-1921.25</v>
      </c>
      <c r="X42" s="38">
        <f t="shared" si="18"/>
        <v>115.24076496286203</v>
      </c>
      <c r="Y42" s="38">
        <f t="shared" si="30"/>
        <v>568.98</v>
      </c>
      <c r="Z42" s="38">
        <f t="shared" si="31"/>
        <v>882.44583333333344</v>
      </c>
      <c r="AA42" s="38">
        <f t="shared" si="32"/>
        <v>-354.58340170380461</v>
      </c>
      <c r="AB42" s="38">
        <f t="shared" si="19"/>
        <v>-6447.3899931802807</v>
      </c>
      <c r="AC42" s="38">
        <f t="shared" si="26"/>
        <v>153647.38999318029</v>
      </c>
      <c r="AD42" s="71"/>
      <c r="AE42" s="33"/>
      <c r="AF42" s="33"/>
      <c r="AG42" s="33"/>
      <c r="AH42" s="33"/>
      <c r="AI42" s="33"/>
      <c r="AJ42" s="33"/>
    </row>
    <row r="43" spans="1:36" ht="18" x14ac:dyDescent="0.25">
      <c r="A43" s="33"/>
      <c r="B43" s="33"/>
      <c r="C43" s="73"/>
      <c r="D43" s="33"/>
      <c r="E43" s="33"/>
      <c r="F43" s="33"/>
      <c r="G43" s="33"/>
      <c r="H43" s="38"/>
      <c r="I43" s="38"/>
      <c r="J43" s="38">
        <v>1</v>
      </c>
      <c r="K43" s="38">
        <v>1</v>
      </c>
      <c r="L43" s="38">
        <v>7</v>
      </c>
      <c r="M43" s="103">
        <v>-3.33</v>
      </c>
      <c r="N43" s="38">
        <f t="shared" si="23"/>
        <v>-43.452730475631242</v>
      </c>
      <c r="O43" s="38">
        <f t="shared" si="27"/>
        <v>14.853000000000003</v>
      </c>
      <c r="P43" s="38">
        <f t="shared" si="20"/>
        <v>33.226161000000012</v>
      </c>
      <c r="Q43" s="38">
        <f t="shared" ref="Q43:Q104" si="33">K43*O43</f>
        <v>14.853000000000003</v>
      </c>
      <c r="R43" s="93">
        <f t="shared" si="28"/>
        <v>107.86800000000001</v>
      </c>
      <c r="S43" s="93">
        <v>7.1272878819970913</v>
      </c>
      <c r="T43" s="97">
        <f t="shared" si="25"/>
        <v>1.8428722222222229</v>
      </c>
      <c r="U43" s="93">
        <f t="shared" si="29"/>
        <v>17.958070543689935</v>
      </c>
      <c r="V43" s="93">
        <f t="shared" si="21"/>
        <v>7.1272878819970913</v>
      </c>
      <c r="W43" s="38">
        <f t="shared" si="17"/>
        <v>-2414.25</v>
      </c>
      <c r="X43" s="38">
        <f t="shared" si="18"/>
        <v>76.895941209822027</v>
      </c>
      <c r="Y43" s="38">
        <f t="shared" si="30"/>
        <v>568.98</v>
      </c>
      <c r="Z43" s="38">
        <f t="shared" si="31"/>
        <v>882.44583333333344</v>
      </c>
      <c r="AA43" s="38">
        <f t="shared" si="32"/>
        <v>-885.92822545684453</v>
      </c>
      <c r="AB43" s="38">
        <f t="shared" si="19"/>
        <v>-13158.691932710515</v>
      </c>
      <c r="AC43" s="38">
        <f t="shared" si="26"/>
        <v>160358.69193271053</v>
      </c>
      <c r="AD43" s="71"/>
      <c r="AE43" s="33"/>
      <c r="AF43" s="33"/>
      <c r="AG43" s="33"/>
      <c r="AH43" s="33"/>
      <c r="AI43" s="33"/>
      <c r="AJ43" s="33"/>
    </row>
    <row r="44" spans="1:36" ht="18" x14ac:dyDescent="0.25">
      <c r="A44" s="33"/>
      <c r="B44" s="33"/>
      <c r="C44" s="73"/>
      <c r="D44" s="33"/>
      <c r="E44" s="33"/>
      <c r="F44" s="33"/>
      <c r="G44" s="33"/>
      <c r="H44" s="38"/>
      <c r="I44" s="38"/>
      <c r="J44" s="38">
        <v>1</v>
      </c>
      <c r="K44" s="38">
        <v>1</v>
      </c>
      <c r="L44" s="98">
        <v>8</v>
      </c>
      <c r="M44" s="103">
        <v>-2.72</v>
      </c>
      <c r="N44" s="38">
        <f t="shared" si="23"/>
        <v>-35.492920989104199</v>
      </c>
      <c r="O44" s="38">
        <f t="shared" si="27"/>
        <v>12.133000000000003</v>
      </c>
      <c r="P44" s="38">
        <f t="shared" si="20"/>
        <v>27.141521000000008</v>
      </c>
      <c r="Q44" s="38">
        <f>K44*O44</f>
        <v>12.133000000000003</v>
      </c>
      <c r="R44" s="100">
        <f t="shared" si="28"/>
        <v>120.001</v>
      </c>
      <c r="S44" s="93">
        <v>4.1706479118615389</v>
      </c>
      <c r="T44" s="97">
        <f t="shared" si="25"/>
        <v>0.88240000000000018</v>
      </c>
      <c r="U44" s="100">
        <f t="shared" si="29"/>
        <v>18.840470543689936</v>
      </c>
      <c r="V44" s="93">
        <f t="shared" si="21"/>
        <v>4.1706479118615389</v>
      </c>
      <c r="W44" s="38">
        <f t="shared" si="17"/>
        <v>-1972.0000000000002</v>
      </c>
      <c r="X44" s="38">
        <f t="shared" si="18"/>
        <v>51.311114778462013</v>
      </c>
      <c r="Y44" s="38">
        <f t="shared" si="30"/>
        <v>568.98</v>
      </c>
      <c r="Z44" s="38">
        <f t="shared" si="31"/>
        <v>517.25454545454545</v>
      </c>
      <c r="AA44" s="38">
        <f t="shared" si="32"/>
        <v>-834.45433976699269</v>
      </c>
      <c r="AB44" s="38">
        <f t="shared" si="19"/>
        <v>-10124.434504392924</v>
      </c>
      <c r="AC44" s="38">
        <f t="shared" si="26"/>
        <v>157324.43450439294</v>
      </c>
      <c r="AD44" s="71"/>
      <c r="AE44" s="33"/>
      <c r="AF44" s="33"/>
      <c r="AG44" s="33"/>
      <c r="AH44" s="33"/>
      <c r="AI44" s="33"/>
      <c r="AJ44" s="33"/>
    </row>
    <row r="45" spans="1:36" ht="18" x14ac:dyDescent="0.25">
      <c r="A45" s="33"/>
      <c r="B45" s="33"/>
      <c r="C45" s="73"/>
      <c r="D45" s="33"/>
      <c r="E45" s="33"/>
      <c r="F45" s="33"/>
      <c r="G45" s="33"/>
      <c r="H45" s="38"/>
      <c r="I45" s="38"/>
      <c r="J45" s="38">
        <v>1</v>
      </c>
      <c r="K45" s="38">
        <v>1</v>
      </c>
      <c r="L45" s="38">
        <v>9</v>
      </c>
      <c r="M45" s="103">
        <v>-0.9</v>
      </c>
      <c r="N45" s="38">
        <f t="shared" si="23"/>
        <v>-11.743981209630066</v>
      </c>
      <c r="O45" s="38">
        <f t="shared" si="27"/>
        <v>11.233000000000002</v>
      </c>
      <c r="P45" s="38">
        <f t="shared" si="20"/>
        <v>25.128221000000007</v>
      </c>
      <c r="Q45" s="38">
        <f t="shared" si="33"/>
        <v>11.233000000000002</v>
      </c>
      <c r="R45" s="93">
        <f t="shared" si="28"/>
        <v>131.23400000000001</v>
      </c>
      <c r="S45" s="93">
        <v>4.1706479118615389</v>
      </c>
      <c r="T45" s="97">
        <f t="shared" si="25"/>
        <v>0.81694545454545464</v>
      </c>
      <c r="U45" s="93">
        <f t="shared" si="29"/>
        <v>19.65741599823539</v>
      </c>
      <c r="V45" s="93">
        <f t="shared" si="21"/>
        <v>4.1706479118615389</v>
      </c>
      <c r="W45" s="38">
        <f t="shared" si="17"/>
        <v>-652.5</v>
      </c>
      <c r="X45" s="38">
        <f t="shared" si="18"/>
        <v>43.981149173262018</v>
      </c>
      <c r="Y45" s="38">
        <f t="shared" si="30"/>
        <v>568.98</v>
      </c>
      <c r="Z45" s="38">
        <f t="shared" si="31"/>
        <v>517.25454545454545</v>
      </c>
      <c r="AA45" s="38">
        <f t="shared" si="32"/>
        <v>477.71569462780735</v>
      </c>
      <c r="AB45" s="38">
        <f t="shared" si="19"/>
        <v>5366.1803977541613</v>
      </c>
      <c r="AC45" s="38">
        <f t="shared" si="26"/>
        <v>141833.81960224584</v>
      </c>
      <c r="AD45" s="71"/>
      <c r="AE45" s="33"/>
      <c r="AF45" s="33"/>
      <c r="AG45" s="33"/>
      <c r="AH45" s="33"/>
      <c r="AI45" s="33"/>
      <c r="AJ45" s="33"/>
    </row>
    <row r="46" spans="1:36" ht="18" x14ac:dyDescent="0.25">
      <c r="A46" s="33"/>
      <c r="B46" s="33"/>
      <c r="C46" s="73"/>
      <c r="D46" s="33"/>
      <c r="E46" s="33"/>
      <c r="F46" s="33"/>
      <c r="G46" s="33"/>
      <c r="H46" s="38"/>
      <c r="I46" s="38"/>
      <c r="J46" s="38">
        <v>1</v>
      </c>
      <c r="K46" s="38">
        <v>1</v>
      </c>
      <c r="L46" s="38">
        <v>10</v>
      </c>
      <c r="M46" s="103">
        <v>-0.64</v>
      </c>
      <c r="N46" s="38">
        <f t="shared" si="23"/>
        <v>-8.3512755268480472</v>
      </c>
      <c r="O46" s="38">
        <f t="shared" si="27"/>
        <v>10.593000000000002</v>
      </c>
      <c r="P46" s="38">
        <f t="shared" si="20"/>
        <v>23.696541000000003</v>
      </c>
      <c r="Q46" s="38">
        <f t="shared" si="33"/>
        <v>10.593000000000002</v>
      </c>
      <c r="R46" s="93">
        <f t="shared" si="28"/>
        <v>141.827</v>
      </c>
      <c r="S46" s="93">
        <v>4.1706479118615389</v>
      </c>
      <c r="T46" s="97">
        <f t="shared" si="25"/>
        <v>0.77040000000000008</v>
      </c>
      <c r="U46" s="93">
        <f t="shared" si="29"/>
        <v>20.427815998235388</v>
      </c>
      <c r="V46" s="93">
        <f t="shared" si="21"/>
        <v>4.1706479118615389</v>
      </c>
      <c r="W46" s="38">
        <f t="shared" si="17"/>
        <v>-464</v>
      </c>
      <c r="X46" s="38">
        <f t="shared" si="18"/>
        <v>39.112267952142012</v>
      </c>
      <c r="Y46" s="38">
        <f t="shared" si="30"/>
        <v>568.98</v>
      </c>
      <c r="Z46" s="38">
        <f t="shared" si="31"/>
        <v>517.25454545454545</v>
      </c>
      <c r="AA46" s="38">
        <f t="shared" si="32"/>
        <v>661.34681340668749</v>
      </c>
      <c r="AB46" s="38">
        <f t="shared" si="19"/>
        <v>7005.6467944170417</v>
      </c>
      <c r="AC46" s="38">
        <f t="shared" si="26"/>
        <v>140194.35320558297</v>
      </c>
      <c r="AD46" s="71"/>
      <c r="AE46" s="33"/>
      <c r="AF46" s="33"/>
      <c r="AG46" s="33"/>
      <c r="AH46" s="33"/>
      <c r="AI46" s="33"/>
      <c r="AJ46" s="33"/>
    </row>
    <row r="47" spans="1:36" ht="18" x14ac:dyDescent="0.25">
      <c r="A47" s="33"/>
      <c r="B47" s="33"/>
      <c r="C47" s="73"/>
      <c r="D47" s="33"/>
      <c r="E47" s="33"/>
      <c r="F47" s="33"/>
      <c r="G47" s="33"/>
      <c r="H47" s="38"/>
      <c r="I47" s="38"/>
      <c r="J47" s="38">
        <v>1</v>
      </c>
      <c r="K47" s="38">
        <v>1</v>
      </c>
      <c r="L47" s="38">
        <v>11</v>
      </c>
      <c r="M47" s="103">
        <v>-0.34</v>
      </c>
      <c r="N47" s="38">
        <f t="shared" si="23"/>
        <v>-4.4366151236380249</v>
      </c>
      <c r="O47" s="38">
        <f t="shared" si="27"/>
        <v>10.253000000000002</v>
      </c>
      <c r="P47" s="38">
        <f t="shared" si="20"/>
        <v>22.935961000000006</v>
      </c>
      <c r="Q47" s="38">
        <f t="shared" si="33"/>
        <v>10.253000000000002</v>
      </c>
      <c r="R47" s="93">
        <f t="shared" si="28"/>
        <v>152.08000000000001</v>
      </c>
      <c r="S47" s="93">
        <v>4.1706479118615389</v>
      </c>
      <c r="T47" s="97">
        <f t="shared" si="25"/>
        <v>0.74567272727272738</v>
      </c>
      <c r="U47" s="93">
        <f t="shared" si="29"/>
        <v>21.173488725508115</v>
      </c>
      <c r="V47" s="93">
        <f t="shared" si="21"/>
        <v>4.1706479118615389</v>
      </c>
      <c r="W47" s="38">
        <f t="shared" si="17"/>
        <v>-246.50000000000003</v>
      </c>
      <c r="X47" s="38">
        <f t="shared" si="18"/>
        <v>36.641814329022012</v>
      </c>
      <c r="Y47" s="38">
        <f t="shared" si="30"/>
        <v>568.98</v>
      </c>
      <c r="Z47" s="38">
        <f t="shared" si="31"/>
        <v>517.25454545454545</v>
      </c>
      <c r="AA47" s="38">
        <f t="shared" si="32"/>
        <v>876.37635978356752</v>
      </c>
      <c r="AB47" s="38">
        <f t="shared" si="19"/>
        <v>8985.4868168609191</v>
      </c>
      <c r="AC47" s="38">
        <f t="shared" si="26"/>
        <v>138214.51318313909</v>
      </c>
      <c r="AD47" s="71"/>
      <c r="AE47" s="33"/>
      <c r="AF47" s="33"/>
      <c r="AG47" s="33"/>
      <c r="AH47" s="33"/>
      <c r="AI47" s="33"/>
      <c r="AJ47" s="33"/>
    </row>
    <row r="48" spans="1:36" ht="18" x14ac:dyDescent="0.25">
      <c r="A48" s="33"/>
      <c r="B48" s="33"/>
      <c r="C48" s="73"/>
      <c r="D48" s="33"/>
      <c r="E48" s="33"/>
      <c r="F48" s="33"/>
      <c r="G48" s="33"/>
      <c r="H48" s="38"/>
      <c r="I48" s="38"/>
      <c r="J48" s="38">
        <v>1</v>
      </c>
      <c r="K48" s="38">
        <v>1</v>
      </c>
      <c r="L48" s="98">
        <v>12</v>
      </c>
      <c r="M48" s="103">
        <v>-0.33</v>
      </c>
      <c r="N48" s="38">
        <f t="shared" si="23"/>
        <v>-4.3061264435310243</v>
      </c>
      <c r="O48" s="38">
        <f>(K48*M48)+O47</f>
        <v>9.9230000000000018</v>
      </c>
      <c r="P48" s="38">
        <f t="shared" si="20"/>
        <v>22.197751000000004</v>
      </c>
      <c r="Q48" s="38">
        <f>K48*O48</f>
        <v>9.9230000000000018</v>
      </c>
      <c r="R48" s="100">
        <f>Q48+R47</f>
        <v>162.00300000000001</v>
      </c>
      <c r="S48" s="93">
        <v>-3.9592874494513626</v>
      </c>
      <c r="T48" s="97">
        <f t="shared" si="25"/>
        <v>-0.68515952380952394</v>
      </c>
      <c r="U48" s="100">
        <f t="shared" si="29"/>
        <v>20.488329201698591</v>
      </c>
      <c r="V48" s="93">
        <f t="shared" si="21"/>
        <v>-3.9592874494513626</v>
      </c>
      <c r="W48" s="38">
        <f t="shared" si="17"/>
        <v>-239.25</v>
      </c>
      <c r="X48" s="38">
        <f t="shared" si="18"/>
        <v>34.32108728038201</v>
      </c>
      <c r="Y48" s="38">
        <f t="shared" si="30"/>
        <v>568.98</v>
      </c>
      <c r="Z48" s="38">
        <f t="shared" si="31"/>
        <v>-491.0839285714286</v>
      </c>
      <c r="AA48" s="38">
        <f t="shared" si="32"/>
        <v>-127.03284129104657</v>
      </c>
      <c r="AB48" s="38">
        <f t="shared" si="19"/>
        <v>-1260.5468841310553</v>
      </c>
      <c r="AC48" s="38">
        <f t="shared" si="26"/>
        <v>148460.54688413106</v>
      </c>
      <c r="AD48" s="71"/>
      <c r="AE48" s="33"/>
      <c r="AF48" s="33"/>
      <c r="AG48" s="33"/>
      <c r="AH48" s="33"/>
      <c r="AI48" s="33"/>
      <c r="AJ48" s="33"/>
    </row>
    <row r="49" spans="1:36" ht="18" x14ac:dyDescent="0.25">
      <c r="A49" s="33"/>
      <c r="B49" s="33"/>
      <c r="C49" s="73"/>
      <c r="D49" s="33"/>
      <c r="E49" s="33"/>
      <c r="F49" s="33"/>
      <c r="G49" s="33"/>
      <c r="H49" s="38"/>
      <c r="I49" s="38"/>
      <c r="J49" s="38">
        <v>1</v>
      </c>
      <c r="K49" s="38">
        <v>1</v>
      </c>
      <c r="L49" s="38">
        <v>13</v>
      </c>
      <c r="M49" s="103">
        <v>-2.5</v>
      </c>
      <c r="N49" s="38">
        <f t="shared" si="23"/>
        <v>-32.622170026750183</v>
      </c>
      <c r="O49" s="38">
        <f t="shared" si="27"/>
        <v>7.4230000000000018</v>
      </c>
      <c r="P49" s="38">
        <f t="shared" si="20"/>
        <v>16.605251000000006</v>
      </c>
      <c r="Q49" s="38">
        <f t="shared" si="33"/>
        <v>7.4230000000000018</v>
      </c>
      <c r="R49" s="93">
        <f t="shared" si="28"/>
        <v>169.42600000000002</v>
      </c>
      <c r="S49" s="93">
        <v>-3.9592874494513626</v>
      </c>
      <c r="T49" s="97">
        <f t="shared" si="25"/>
        <v>-0.51254047619047638</v>
      </c>
      <c r="U49" s="93">
        <f>U48+T49</f>
        <v>19.975788725508114</v>
      </c>
      <c r="V49" s="93">
        <f t="shared" si="21"/>
        <v>-3.9592874494513626</v>
      </c>
      <c r="W49" s="38">
        <f t="shared" si="17"/>
        <v>-1812.5</v>
      </c>
      <c r="X49" s="38">
        <f t="shared" si="18"/>
        <v>19.20586961038201</v>
      </c>
      <c r="Y49" s="38">
        <f t="shared" si="30"/>
        <v>568.98</v>
      </c>
      <c r="Z49" s="38">
        <f t="shared" si="31"/>
        <v>-491.0839285714286</v>
      </c>
      <c r="AA49" s="38">
        <f t="shared" si="32"/>
        <v>-1715.3980589610464</v>
      </c>
      <c r="AB49" s="38">
        <f t="shared" si="19"/>
        <v>-12733.399791667851</v>
      </c>
      <c r="AC49" s="38">
        <f t="shared" si="26"/>
        <v>159933.39979166785</v>
      </c>
      <c r="AD49" s="71"/>
      <c r="AE49" s="33"/>
      <c r="AF49" s="33"/>
      <c r="AG49" s="33"/>
      <c r="AH49" s="33"/>
      <c r="AI49" s="33"/>
      <c r="AJ49" s="33"/>
    </row>
    <row r="50" spans="1:36" ht="18" x14ac:dyDescent="0.25">
      <c r="A50" s="33"/>
      <c r="B50" s="33"/>
      <c r="C50" s="73"/>
      <c r="D50" s="33"/>
      <c r="E50" s="33"/>
      <c r="F50" s="33"/>
      <c r="G50" s="33"/>
      <c r="H50" s="38"/>
      <c r="I50" s="38"/>
      <c r="J50" s="38">
        <v>1</v>
      </c>
      <c r="K50" s="38">
        <v>1</v>
      </c>
      <c r="L50" s="38">
        <v>14</v>
      </c>
      <c r="M50" s="103">
        <v>-2.9</v>
      </c>
      <c r="N50" s="38">
        <f t="shared" si="23"/>
        <v>-37.841717231030209</v>
      </c>
      <c r="O50" s="38">
        <f t="shared" si="27"/>
        <v>4.5230000000000015</v>
      </c>
      <c r="P50" s="38">
        <f t="shared" si="20"/>
        <v>10.117951000000003</v>
      </c>
      <c r="Q50" s="38">
        <f t="shared" si="33"/>
        <v>4.5230000000000015</v>
      </c>
      <c r="R50" s="93">
        <f t="shared" si="28"/>
        <v>173.94900000000001</v>
      </c>
      <c r="S50" s="93">
        <v>-3.9592874494513626</v>
      </c>
      <c r="T50" s="97">
        <f t="shared" si="25"/>
        <v>-0.31230238095238105</v>
      </c>
      <c r="U50" s="93">
        <f t="shared" si="29"/>
        <v>19.663486344555732</v>
      </c>
      <c r="V50" s="93">
        <f t="shared" si="21"/>
        <v>-3.9592874494513626</v>
      </c>
      <c r="W50" s="38">
        <f t="shared" si="17"/>
        <v>-2102.5</v>
      </c>
      <c r="X50" s="38">
        <f t="shared" si="18"/>
        <v>7.1306353931820032</v>
      </c>
      <c r="Y50" s="38">
        <f t="shared" si="30"/>
        <v>568.98</v>
      </c>
      <c r="Z50" s="38">
        <f t="shared" si="31"/>
        <v>-491.0839285714286</v>
      </c>
      <c r="AA50" s="38">
        <f t="shared" si="32"/>
        <v>-2017.4732931782464</v>
      </c>
      <c r="AB50" s="38">
        <f t="shared" si="19"/>
        <v>-9125.0317050452122</v>
      </c>
      <c r="AC50" s="38">
        <f t="shared" si="26"/>
        <v>156325.0317050452</v>
      </c>
      <c r="AD50" s="71"/>
      <c r="AE50" s="33"/>
      <c r="AF50" s="33"/>
      <c r="AG50" s="33"/>
      <c r="AH50" s="33"/>
      <c r="AI50" s="33"/>
      <c r="AJ50" s="33"/>
    </row>
    <row r="51" spans="1:36" ht="18" x14ac:dyDescent="0.25">
      <c r="A51" s="33"/>
      <c r="B51" s="73"/>
      <c r="C51" s="73"/>
      <c r="D51" s="33"/>
      <c r="E51" s="33"/>
      <c r="F51" s="33"/>
      <c r="G51" s="33"/>
      <c r="H51" s="38"/>
      <c r="I51" s="38"/>
      <c r="J51" s="38">
        <v>1</v>
      </c>
      <c r="K51" s="38">
        <v>1</v>
      </c>
      <c r="L51" s="38">
        <v>15</v>
      </c>
      <c r="M51" s="103">
        <v>-3</v>
      </c>
      <c r="N51" s="38">
        <f t="shared" si="23"/>
        <v>-39.146604032100214</v>
      </c>
      <c r="O51" s="38">
        <f t="shared" si="27"/>
        <v>1.5230000000000015</v>
      </c>
      <c r="P51" s="38">
        <f t="shared" si="20"/>
        <v>3.4069510000000034</v>
      </c>
      <c r="Q51" s="38">
        <f t="shared" si="33"/>
        <v>1.5230000000000015</v>
      </c>
      <c r="R51" s="93">
        <f t="shared" si="28"/>
        <v>175.47200000000001</v>
      </c>
      <c r="S51" s="93">
        <v>-3.9592874494513626</v>
      </c>
      <c r="T51" s="97">
        <f t="shared" si="25"/>
        <v>-0.10515952380952391</v>
      </c>
      <c r="U51" s="93">
        <f t="shared" si="29"/>
        <v>19.55832682074621</v>
      </c>
      <c r="V51" s="93">
        <f t="shared" si="21"/>
        <v>-3.9592874494513626</v>
      </c>
      <c r="W51" s="38">
        <f t="shared" si="17"/>
        <v>-2175</v>
      </c>
      <c r="X51" s="38">
        <f t="shared" si="18"/>
        <v>0.80849038918200156</v>
      </c>
      <c r="Y51" s="38">
        <f t="shared" si="30"/>
        <v>568.98</v>
      </c>
      <c r="Z51" s="38">
        <f t="shared" si="31"/>
        <v>-491.0839285714286</v>
      </c>
      <c r="AA51" s="38">
        <f t="shared" si="32"/>
        <v>-2096.2954381822465</v>
      </c>
      <c r="AB51" s="38">
        <f t="shared" si="19"/>
        <v>-3192.6579523515643</v>
      </c>
      <c r="AC51" s="38">
        <f t="shared" si="26"/>
        <v>150392.65795235155</v>
      </c>
      <c r="AD51" s="71"/>
      <c r="AE51" s="33"/>
      <c r="AF51" s="33"/>
      <c r="AG51" s="33"/>
      <c r="AH51" s="33"/>
      <c r="AI51" s="33"/>
      <c r="AJ51" s="33"/>
    </row>
    <row r="52" spans="1:36" ht="18" x14ac:dyDescent="0.25">
      <c r="A52" s="33"/>
      <c r="B52" s="73"/>
      <c r="C52" s="73"/>
      <c r="D52" s="33"/>
      <c r="E52" s="33"/>
      <c r="F52" s="33"/>
      <c r="G52" s="33"/>
      <c r="H52" s="38"/>
      <c r="I52" s="38"/>
      <c r="J52" s="38">
        <v>1</v>
      </c>
      <c r="K52" s="38">
        <v>1</v>
      </c>
      <c r="L52" s="98">
        <v>16</v>
      </c>
      <c r="M52" s="103">
        <v>-1</v>
      </c>
      <c r="N52" s="38">
        <f t="shared" si="23"/>
        <v>-13.048868010700071</v>
      </c>
      <c r="O52" s="38">
        <f t="shared" si="27"/>
        <v>0.52300000000000146</v>
      </c>
      <c r="P52" s="38">
        <f t="shared" si="20"/>
        <v>1.1699510000000033</v>
      </c>
      <c r="Q52" s="38">
        <f>K52*O52</f>
        <v>0.52300000000000146</v>
      </c>
      <c r="R52" s="100">
        <f t="shared" si="28"/>
        <v>175.995</v>
      </c>
      <c r="S52" s="93">
        <v>-4.0960437581523328</v>
      </c>
      <c r="T52" s="97">
        <f t="shared" si="25"/>
        <v>-3.7357142857142957E-2</v>
      </c>
      <c r="U52" s="100">
        <f t="shared" si="29"/>
        <v>19.520969677889067</v>
      </c>
      <c r="V52" s="93">
        <f t="shared" si="21"/>
        <v>-4.0960437581523328</v>
      </c>
      <c r="W52" s="38">
        <f t="shared" si="17"/>
        <v>-725</v>
      </c>
      <c r="X52" s="38">
        <f t="shared" si="18"/>
        <v>9.5340721182000529E-2</v>
      </c>
      <c r="Y52" s="38">
        <f t="shared" si="30"/>
        <v>568.98</v>
      </c>
      <c r="Z52" s="38">
        <f t="shared" si="31"/>
        <v>-508.01785714285711</v>
      </c>
      <c r="AA52" s="38">
        <f t="shared" si="32"/>
        <v>-663.94251642167512</v>
      </c>
      <c r="AB52" s="38">
        <f t="shared" si="19"/>
        <v>-347.24193608853705</v>
      </c>
      <c r="AC52" s="38">
        <f t="shared" si="26"/>
        <v>147547.24193608854</v>
      </c>
      <c r="AD52" s="71"/>
      <c r="AE52" s="33"/>
      <c r="AF52" s="33"/>
      <c r="AG52" s="33"/>
      <c r="AH52" s="33"/>
      <c r="AI52" s="33"/>
      <c r="AJ52" s="33"/>
    </row>
    <row r="53" spans="1:36" ht="18" x14ac:dyDescent="0.25">
      <c r="A53" s="33"/>
      <c r="B53" s="73"/>
      <c r="C53" s="73"/>
      <c r="D53" s="33"/>
      <c r="E53" s="33"/>
      <c r="F53" s="33"/>
      <c r="G53" s="33"/>
      <c r="H53" s="38"/>
      <c r="I53" s="38"/>
      <c r="J53" s="38">
        <v>1</v>
      </c>
      <c r="K53" s="38">
        <v>1</v>
      </c>
      <c r="L53" s="38">
        <v>17</v>
      </c>
      <c r="M53" s="103">
        <v>1</v>
      </c>
      <c r="N53" s="38">
        <f t="shared" si="23"/>
        <v>13.048868010700071</v>
      </c>
      <c r="O53" s="38">
        <f t="shared" si="27"/>
        <v>1.5230000000000015</v>
      </c>
      <c r="P53" s="38">
        <f t="shared" si="20"/>
        <v>3.4069510000000034</v>
      </c>
      <c r="Q53" s="38">
        <f t="shared" si="33"/>
        <v>1.5230000000000015</v>
      </c>
      <c r="R53" s="93">
        <f>Q53+R52</f>
        <v>177.518</v>
      </c>
      <c r="S53" s="93">
        <v>-4.0960437581523328</v>
      </c>
      <c r="T53" s="97">
        <f t="shared" si="25"/>
        <v>-0.10878571428571439</v>
      </c>
      <c r="U53" s="93">
        <f t="shared" si="29"/>
        <v>19.412183963603351</v>
      </c>
      <c r="V53" s="93">
        <f t="shared" si="21"/>
        <v>-4.0960437581523328</v>
      </c>
      <c r="W53" s="38">
        <f t="shared" si="17"/>
        <v>725</v>
      </c>
      <c r="X53" s="38">
        <f t="shared" si="18"/>
        <v>0.80849038918200156</v>
      </c>
      <c r="Y53" s="38">
        <f t="shared" si="30"/>
        <v>568.98</v>
      </c>
      <c r="Z53" s="38">
        <f t="shared" si="31"/>
        <v>-508.01785714285711</v>
      </c>
      <c r="AA53" s="38">
        <f t="shared" si="32"/>
        <v>786.77063324632491</v>
      </c>
      <c r="AB53" s="38">
        <f t="shared" si="19"/>
        <v>1198.251674434154</v>
      </c>
      <c r="AC53" s="38">
        <f t="shared" si="26"/>
        <v>146001.74832556586</v>
      </c>
      <c r="AD53" s="71"/>
      <c r="AE53" s="33"/>
      <c r="AF53" s="33"/>
      <c r="AG53" s="33"/>
      <c r="AH53" s="33"/>
      <c r="AI53" s="33"/>
      <c r="AJ53" s="33"/>
    </row>
    <row r="54" spans="1:36" ht="18" x14ac:dyDescent="0.25">
      <c r="A54" s="33"/>
      <c r="B54" s="73"/>
      <c r="C54" s="73"/>
      <c r="D54" s="33"/>
      <c r="E54" s="33"/>
      <c r="F54" s="33"/>
      <c r="G54" s="33"/>
      <c r="H54" s="38"/>
      <c r="I54" s="38"/>
      <c r="J54" s="38">
        <v>1</v>
      </c>
      <c r="K54" s="38">
        <v>1</v>
      </c>
      <c r="L54" s="98">
        <v>18</v>
      </c>
      <c r="M54" s="103">
        <v>1.96</v>
      </c>
      <c r="N54" s="38">
        <f t="shared" si="23"/>
        <v>25.575781300972139</v>
      </c>
      <c r="O54" s="38">
        <f t="shared" si="27"/>
        <v>3.4830000000000014</v>
      </c>
      <c r="P54" s="38">
        <f t="shared" si="20"/>
        <v>7.7914710000000031</v>
      </c>
      <c r="Q54" s="38">
        <f t="shared" si="33"/>
        <v>3.4830000000000014</v>
      </c>
      <c r="R54" s="100">
        <f t="shared" si="28"/>
        <v>181.001</v>
      </c>
      <c r="S54" s="93">
        <v>-8.0478462473115151</v>
      </c>
      <c r="T54" s="97">
        <f t="shared" si="25"/>
        <v>-0.48762000000000016</v>
      </c>
      <c r="U54" s="100">
        <f t="shared" si="29"/>
        <v>18.924563963603351</v>
      </c>
      <c r="V54" s="93">
        <f t="shared" si="21"/>
        <v>-8.0478462473115151</v>
      </c>
      <c r="W54" s="38">
        <f t="shared" si="17"/>
        <v>1421</v>
      </c>
      <c r="X54" s="38">
        <f t="shared" si="18"/>
        <v>4.2284578312620029</v>
      </c>
      <c r="Y54" s="38">
        <f t="shared" si="30"/>
        <v>568.98</v>
      </c>
      <c r="Z54" s="38">
        <f t="shared" si="31"/>
        <v>-995.71499999999992</v>
      </c>
      <c r="AA54" s="38">
        <f t="shared" si="32"/>
        <v>998.49345783126205</v>
      </c>
      <c r="AB54" s="38">
        <f t="shared" si="19"/>
        <v>3477.752713626287</v>
      </c>
      <c r="AC54" s="38">
        <f t="shared" si="26"/>
        <v>143722.24728637372</v>
      </c>
      <c r="AD54" s="71"/>
      <c r="AE54" s="33"/>
      <c r="AF54" s="33"/>
      <c r="AG54" s="33"/>
      <c r="AH54" s="33"/>
      <c r="AI54" s="33"/>
      <c r="AJ54" s="33"/>
    </row>
    <row r="55" spans="1:36" ht="18" x14ac:dyDescent="0.25">
      <c r="A55" s="33"/>
      <c r="B55" s="73"/>
      <c r="C55" s="73"/>
      <c r="D55" s="33"/>
      <c r="E55" s="33"/>
      <c r="F55" s="33"/>
      <c r="G55" s="33"/>
      <c r="H55" s="38"/>
      <c r="I55" s="38"/>
      <c r="J55" s="38">
        <v>1</v>
      </c>
      <c r="K55" s="38">
        <v>1</v>
      </c>
      <c r="L55" s="38">
        <v>19</v>
      </c>
      <c r="M55" s="103">
        <v>-1.6</v>
      </c>
      <c r="N55" s="38">
        <f t="shared" si="23"/>
        <v>-20.878188817120115</v>
      </c>
      <c r="O55" s="38">
        <f t="shared" si="27"/>
        <v>1.8830000000000013</v>
      </c>
      <c r="P55" s="38">
        <f t="shared" si="20"/>
        <v>4.212271000000003</v>
      </c>
      <c r="Q55" s="38">
        <f t="shared" si="33"/>
        <v>1.8830000000000013</v>
      </c>
      <c r="R55" s="93">
        <f t="shared" si="28"/>
        <v>182.88400000000001</v>
      </c>
      <c r="S55" s="93">
        <v>-8.0478462473115151</v>
      </c>
      <c r="T55" s="97">
        <f t="shared" si="25"/>
        <v>-0.26362000000000019</v>
      </c>
      <c r="U55" s="93">
        <f t="shared" si="29"/>
        <v>18.660943963603351</v>
      </c>
      <c r="V55" s="93">
        <f t="shared" si="21"/>
        <v>-8.0478462473115169</v>
      </c>
      <c r="W55" s="38">
        <f t="shared" si="17"/>
        <v>-1160</v>
      </c>
      <c r="X55" s="38">
        <f t="shared" si="18"/>
        <v>1.2358782664620018</v>
      </c>
      <c r="Y55" s="38">
        <f t="shared" si="30"/>
        <v>568.98</v>
      </c>
      <c r="Z55" s="38">
        <f t="shared" si="31"/>
        <v>-995.71500000000015</v>
      </c>
      <c r="AA55" s="38">
        <f t="shared" si="32"/>
        <v>-1585.4991217335382</v>
      </c>
      <c r="AB55" s="38">
        <f t="shared" si="19"/>
        <v>-2985.4948462242546</v>
      </c>
      <c r="AC55" s="38">
        <f t="shared" si="26"/>
        <v>150185.49484622426</v>
      </c>
      <c r="AD55" s="71"/>
      <c r="AE55" s="33"/>
      <c r="AF55" s="33"/>
      <c r="AG55" s="33"/>
      <c r="AH55" s="33"/>
      <c r="AI55" s="33"/>
      <c r="AJ55" s="33"/>
    </row>
    <row r="56" spans="1:36" ht="18" x14ac:dyDescent="0.25">
      <c r="A56" s="33"/>
      <c r="B56" s="73"/>
      <c r="C56" s="73"/>
      <c r="D56" s="33"/>
      <c r="E56" s="33"/>
      <c r="F56" s="33"/>
      <c r="G56" s="33"/>
      <c r="H56" s="38"/>
      <c r="I56" s="38"/>
      <c r="J56" s="38">
        <v>1</v>
      </c>
      <c r="K56" s="38">
        <v>1</v>
      </c>
      <c r="L56" s="38">
        <v>20</v>
      </c>
      <c r="M56" s="103">
        <v>-1.3</v>
      </c>
      <c r="N56" s="38">
        <f t="shared" si="23"/>
        <v>-16.963528413910094</v>
      </c>
      <c r="O56" s="38">
        <f t="shared" si="27"/>
        <v>0.58300000000000129</v>
      </c>
      <c r="P56" s="38">
        <f t="shared" si="20"/>
        <v>1.3041710000000029</v>
      </c>
      <c r="Q56" s="38">
        <f t="shared" si="33"/>
        <v>0.58300000000000129</v>
      </c>
      <c r="R56" s="93">
        <f t="shared" si="28"/>
        <v>183.46700000000001</v>
      </c>
      <c r="S56" s="93">
        <v>-8.0478462473115151</v>
      </c>
      <c r="T56" s="97">
        <f t="shared" si="25"/>
        <v>-8.1620000000000179E-2</v>
      </c>
      <c r="U56" s="93">
        <f t="shared" si="29"/>
        <v>18.57932396360335</v>
      </c>
      <c r="V56" s="93">
        <f t="shared" si="21"/>
        <v>-8.0478462473115151</v>
      </c>
      <c r="W56" s="38">
        <f t="shared" si="17"/>
        <v>-942.5</v>
      </c>
      <c r="X56" s="38">
        <f t="shared" si="18"/>
        <v>0.11847103006200052</v>
      </c>
      <c r="Y56" s="38">
        <f t="shared" si="30"/>
        <v>568.98</v>
      </c>
      <c r="Z56" s="38">
        <f t="shared" si="31"/>
        <v>-995.71499999999992</v>
      </c>
      <c r="AA56" s="38">
        <f t="shared" si="32"/>
        <v>-1369.1165289699379</v>
      </c>
      <c r="AB56" s="38">
        <f t="shared" si="19"/>
        <v>-798.19493638947563</v>
      </c>
      <c r="AC56" s="38">
        <f t="shared" si="26"/>
        <v>147998.19493638948</v>
      </c>
      <c r="AD56" s="71"/>
      <c r="AE56" s="33"/>
      <c r="AF56" s="33"/>
      <c r="AG56" s="33"/>
      <c r="AH56" s="33"/>
      <c r="AI56" s="33"/>
      <c r="AJ56" s="33"/>
    </row>
    <row r="57" spans="1:36" ht="18" x14ac:dyDescent="0.25">
      <c r="A57" s="33"/>
      <c r="B57" s="73"/>
      <c r="C57" s="73"/>
      <c r="D57" s="33"/>
      <c r="E57" s="33"/>
      <c r="F57" s="33"/>
      <c r="G57" s="33"/>
      <c r="H57" s="38"/>
      <c r="I57" s="38"/>
      <c r="J57" s="38">
        <v>1</v>
      </c>
      <c r="K57" s="38">
        <v>1</v>
      </c>
      <c r="L57" s="38">
        <v>21</v>
      </c>
      <c r="M57" s="103">
        <v>-0.5</v>
      </c>
      <c r="N57" s="38">
        <f>(M57/7.6635)*100</f>
        <v>-6.5244340053500354</v>
      </c>
      <c r="O57" s="38">
        <f>(K57*M57)+O56</f>
        <v>8.3000000000001295E-2</v>
      </c>
      <c r="P57" s="38">
        <f t="shared" si="20"/>
        <v>0.18567100000000292</v>
      </c>
      <c r="Q57" s="38">
        <f t="shared" si="33"/>
        <v>8.3000000000001295E-2</v>
      </c>
      <c r="R57" s="93">
        <f t="shared" si="28"/>
        <v>183.55</v>
      </c>
      <c r="S57" s="93">
        <v>-8.0478462473115151</v>
      </c>
      <c r="T57" s="97">
        <f t="shared" si="25"/>
        <v>-1.1620000000000181E-2</v>
      </c>
      <c r="U57" s="93">
        <f>U56+T57</f>
        <v>18.56770396360335</v>
      </c>
      <c r="V57" s="93">
        <f t="shared" si="21"/>
        <v>-8.0478462473115151</v>
      </c>
      <c r="W57" s="38">
        <f t="shared" si="17"/>
        <v>-362.5</v>
      </c>
      <c r="X57" s="38">
        <f t="shared" si="18"/>
        <v>2.4012160620000751E-3</v>
      </c>
      <c r="Y57" s="38">
        <f t="shared" si="30"/>
        <v>568.98</v>
      </c>
      <c r="Z57" s="38">
        <f t="shared" si="31"/>
        <v>-995.71499999999992</v>
      </c>
      <c r="AA57" s="38">
        <f t="shared" si="32"/>
        <v>-789.23259878393787</v>
      </c>
      <c r="AB57" s="38">
        <f t="shared" si="19"/>
        <v>-65.506305699067866</v>
      </c>
      <c r="AC57" s="38">
        <f t="shared" si="26"/>
        <v>147265.50630569906</v>
      </c>
      <c r="AD57" s="71"/>
      <c r="AE57" s="33"/>
      <c r="AF57" s="33"/>
      <c r="AG57" s="33"/>
      <c r="AH57" s="33"/>
      <c r="AI57" s="33"/>
      <c r="AJ57" s="33"/>
    </row>
    <row r="58" spans="1:36" ht="18" x14ac:dyDescent="0.25">
      <c r="A58" s="33"/>
      <c r="B58" s="73"/>
      <c r="C58" s="73"/>
      <c r="D58" s="33"/>
      <c r="E58" s="33"/>
      <c r="F58" s="33"/>
      <c r="G58" s="33"/>
      <c r="H58" s="38"/>
      <c r="I58" s="38"/>
      <c r="J58" s="38">
        <v>1</v>
      </c>
      <c r="K58" s="38">
        <v>1</v>
      </c>
      <c r="L58" s="38">
        <v>22</v>
      </c>
      <c r="M58" s="103">
        <v>0.20100000000000001</v>
      </c>
      <c r="N58" s="38">
        <f>(M58/7.6635)*100</f>
        <v>2.6228224701507146</v>
      </c>
      <c r="O58" s="38">
        <f>(K58*M58)+O57</f>
        <v>0.28400000000000131</v>
      </c>
      <c r="P58" s="38">
        <f t="shared" si="20"/>
        <v>0.63530800000000298</v>
      </c>
      <c r="Q58" s="38">
        <f t="shared" si="33"/>
        <v>0.28400000000000131</v>
      </c>
      <c r="R58" s="93">
        <f t="shared" si="28"/>
        <v>183.834</v>
      </c>
      <c r="S58" s="93">
        <v>-8.0478462473115151</v>
      </c>
      <c r="T58" s="97">
        <f t="shared" si="25"/>
        <v>-3.9760000000000177E-2</v>
      </c>
      <c r="U58" s="93">
        <f t="shared" si="29"/>
        <v>18.527943963603349</v>
      </c>
      <c r="V58" s="93">
        <f t="shared" si="21"/>
        <v>-8.0478462473115151</v>
      </c>
      <c r="W58" s="38">
        <f t="shared" si="17"/>
        <v>145.72500000000002</v>
      </c>
      <c r="X58" s="38">
        <f t="shared" si="18"/>
        <v>2.8113294048000257E-2</v>
      </c>
      <c r="Y58" s="38">
        <f t="shared" si="30"/>
        <v>568.98</v>
      </c>
      <c r="Z58" s="38">
        <f t="shared" si="31"/>
        <v>-995.71499999999992</v>
      </c>
      <c r="AA58" s="38">
        <f t="shared" si="32"/>
        <v>-280.98188670595187</v>
      </c>
      <c r="AB58" s="38">
        <f t="shared" si="19"/>
        <v>-79.798855824490701</v>
      </c>
      <c r="AC58" s="38">
        <f t="shared" si="26"/>
        <v>147279.79885582448</v>
      </c>
      <c r="AD58" s="71"/>
      <c r="AE58" s="33"/>
      <c r="AF58" s="33"/>
      <c r="AG58" s="33"/>
      <c r="AH58" s="33"/>
      <c r="AI58" s="33"/>
      <c r="AJ58" s="33"/>
    </row>
    <row r="59" spans="1:36" ht="18" x14ac:dyDescent="0.25">
      <c r="A59" s="33"/>
      <c r="B59" s="73"/>
      <c r="C59" s="73"/>
      <c r="D59" s="33"/>
      <c r="E59" s="33"/>
      <c r="F59" s="33"/>
      <c r="G59" s="33"/>
      <c r="H59" s="38"/>
      <c r="I59" s="38"/>
      <c r="J59" s="38">
        <v>1</v>
      </c>
      <c r="K59" s="38">
        <v>1</v>
      </c>
      <c r="L59" s="38">
        <v>23</v>
      </c>
      <c r="M59" s="103">
        <v>0.37</v>
      </c>
      <c r="N59" s="38">
        <f t="shared" si="23"/>
        <v>4.828081163959026</v>
      </c>
      <c r="O59" s="38">
        <f t="shared" si="27"/>
        <v>0.65400000000000125</v>
      </c>
      <c r="P59" s="38">
        <f t="shared" si="20"/>
        <v>1.4629980000000029</v>
      </c>
      <c r="Q59" s="38">
        <f t="shared" si="33"/>
        <v>0.65400000000000125</v>
      </c>
      <c r="R59" s="93">
        <f t="shared" si="28"/>
        <v>184.488</v>
      </c>
      <c r="S59" s="93">
        <v>-8.0478462473115151</v>
      </c>
      <c r="T59" s="97">
        <f t="shared" si="25"/>
        <v>-9.1560000000000169E-2</v>
      </c>
      <c r="U59" s="93">
        <f t="shared" si="29"/>
        <v>18.436383963603348</v>
      </c>
      <c r="V59" s="93">
        <f t="shared" si="21"/>
        <v>-8.0478462473115151</v>
      </c>
      <c r="W59" s="38">
        <f t="shared" si="17"/>
        <v>268.25</v>
      </c>
      <c r="X59" s="38">
        <f t="shared" si="18"/>
        <v>0.14908383352800056</v>
      </c>
      <c r="Y59" s="38">
        <f t="shared" si="30"/>
        <v>568.98</v>
      </c>
      <c r="Z59" s="38">
        <f t="shared" si="31"/>
        <v>-995.71499999999992</v>
      </c>
      <c r="AA59" s="38">
        <f t="shared" si="32"/>
        <v>-158.33591616647186</v>
      </c>
      <c r="AB59" s="38">
        <f t="shared" si="19"/>
        <v>-103.5516891728728</v>
      </c>
      <c r="AC59" s="38">
        <f t="shared" si="26"/>
        <v>147303.55168917286</v>
      </c>
      <c r="AD59" s="71"/>
      <c r="AE59" s="33"/>
      <c r="AF59" s="33"/>
      <c r="AG59" s="33"/>
      <c r="AH59" s="33"/>
      <c r="AI59" s="33"/>
      <c r="AJ59" s="33"/>
    </row>
    <row r="60" spans="1:36" ht="18" x14ac:dyDescent="0.25">
      <c r="A60" s="33"/>
      <c r="B60" s="73"/>
      <c r="C60" s="73"/>
      <c r="D60" s="33"/>
      <c r="E60" s="33"/>
      <c r="F60" s="33"/>
      <c r="G60" s="33"/>
      <c r="H60" s="38"/>
      <c r="I60" s="38"/>
      <c r="J60" s="38">
        <v>1</v>
      </c>
      <c r="K60" s="38">
        <v>1</v>
      </c>
      <c r="L60" s="38">
        <v>24</v>
      </c>
      <c r="M60" s="103">
        <v>0.4</v>
      </c>
      <c r="N60" s="38">
        <f t="shared" si="23"/>
        <v>5.2195472042800288</v>
      </c>
      <c r="O60" s="38">
        <f t="shared" si="27"/>
        <v>1.0540000000000012</v>
      </c>
      <c r="P60" s="38">
        <f t="shared" si="20"/>
        <v>2.3577980000000025</v>
      </c>
      <c r="Q60" s="38">
        <f t="shared" si="33"/>
        <v>1.0540000000000012</v>
      </c>
      <c r="R60" s="93">
        <f t="shared" si="28"/>
        <v>185.542</v>
      </c>
      <c r="S60" s="93">
        <v>-8.0478462473115151</v>
      </c>
      <c r="T60" s="97">
        <f t="shared" si="25"/>
        <v>-0.14756000000000014</v>
      </c>
      <c r="U60" s="93">
        <f t="shared" si="29"/>
        <v>18.288823963603349</v>
      </c>
      <c r="V60" s="93">
        <f t="shared" si="21"/>
        <v>-8.0478462473115151</v>
      </c>
      <c r="W60" s="38">
        <f t="shared" si="17"/>
        <v>290</v>
      </c>
      <c r="X60" s="38">
        <f t="shared" si="18"/>
        <v>0.38721865912800085</v>
      </c>
      <c r="Y60" s="38">
        <f t="shared" si="30"/>
        <v>568.98</v>
      </c>
      <c r="Z60" s="38">
        <f t="shared" si="31"/>
        <v>-995.71499999999992</v>
      </c>
      <c r="AA60" s="38">
        <f t="shared" si="32"/>
        <v>-136.34778134087185</v>
      </c>
      <c r="AB60" s="38">
        <f t="shared" si="19"/>
        <v>-143.71056153327908</v>
      </c>
      <c r="AC60" s="38">
        <f t="shared" si="26"/>
        <v>147343.71056153328</v>
      </c>
      <c r="AD60" s="71"/>
      <c r="AE60" s="33"/>
      <c r="AF60" s="33"/>
      <c r="AG60" s="33"/>
      <c r="AH60" s="33"/>
      <c r="AI60" s="33"/>
      <c r="AJ60" s="33"/>
    </row>
    <row r="61" spans="1:36" ht="18" x14ac:dyDescent="0.25">
      <c r="A61" s="33"/>
      <c r="B61" s="73"/>
      <c r="C61" s="73"/>
      <c r="D61" s="33"/>
      <c r="E61" s="33"/>
      <c r="F61" s="33"/>
      <c r="G61" s="33"/>
      <c r="H61" s="38"/>
      <c r="I61" s="38"/>
      <c r="J61" s="38">
        <v>1</v>
      </c>
      <c r="K61" s="38">
        <v>1</v>
      </c>
      <c r="L61" s="98">
        <v>25</v>
      </c>
      <c r="M61" s="103">
        <v>0.4</v>
      </c>
      <c r="N61" s="38">
        <f t="shared" si="23"/>
        <v>5.2195472042800288</v>
      </c>
      <c r="O61" s="38">
        <f t="shared" si="27"/>
        <v>1.4540000000000011</v>
      </c>
      <c r="P61" s="38">
        <f t="shared" si="20"/>
        <v>3.2525980000000025</v>
      </c>
      <c r="Q61" s="38">
        <f t="shared" si="33"/>
        <v>1.4540000000000011</v>
      </c>
      <c r="R61" s="100">
        <f t="shared" si="28"/>
        <v>186.99600000000001</v>
      </c>
      <c r="S61" s="93">
        <v>-14.477512185929925</v>
      </c>
      <c r="T61" s="97">
        <f t="shared" si="25"/>
        <v>-0.36350000000000027</v>
      </c>
      <c r="U61" s="100">
        <f t="shared" si="29"/>
        <v>17.925323963603347</v>
      </c>
      <c r="V61" s="93">
        <f t="shared" si="21"/>
        <v>-14.477512185929925</v>
      </c>
      <c r="W61" s="38">
        <f t="shared" si="17"/>
        <v>290</v>
      </c>
      <c r="X61" s="38">
        <f t="shared" si="18"/>
        <v>0.73689204472800107</v>
      </c>
      <c r="Y61" s="38">
        <f t="shared" si="30"/>
        <v>568.98</v>
      </c>
      <c r="Z61" s="38">
        <f t="shared" si="31"/>
        <v>-1778.0625</v>
      </c>
      <c r="AA61" s="38">
        <f t="shared" si="32"/>
        <v>-918.34560795527204</v>
      </c>
      <c r="AB61" s="38">
        <f t="shared" si="19"/>
        <v>-1335.2745139669664</v>
      </c>
      <c r="AC61" s="38">
        <f t="shared" si="26"/>
        <v>148535.27451396696</v>
      </c>
      <c r="AD61" s="71"/>
      <c r="AE61" s="33"/>
      <c r="AF61" s="33"/>
      <c r="AG61" s="33"/>
      <c r="AH61" s="33"/>
      <c r="AI61" s="33"/>
      <c r="AJ61" s="33"/>
    </row>
    <row r="62" spans="1:36" ht="18" x14ac:dyDescent="0.25">
      <c r="A62" s="33"/>
      <c r="B62" s="73"/>
      <c r="C62" s="73"/>
      <c r="D62" s="33"/>
      <c r="E62" s="33"/>
      <c r="F62" s="33"/>
      <c r="G62" s="33"/>
      <c r="H62" s="38"/>
      <c r="I62" s="38"/>
      <c r="J62" s="38">
        <v>1</v>
      </c>
      <c r="K62" s="38">
        <v>1</v>
      </c>
      <c r="L62" s="38">
        <v>26</v>
      </c>
      <c r="M62" s="103">
        <v>2.3E-2</v>
      </c>
      <c r="N62" s="38">
        <f t="shared" si="23"/>
        <v>0.30012396424610166</v>
      </c>
      <c r="O62" s="38">
        <f t="shared" si="27"/>
        <v>1.477000000000001</v>
      </c>
      <c r="P62" s="38">
        <f t="shared" si="20"/>
        <v>3.3040490000000022</v>
      </c>
      <c r="Q62" s="38">
        <f t="shared" si="33"/>
        <v>1.477000000000001</v>
      </c>
      <c r="R62" s="93">
        <f t="shared" si="28"/>
        <v>188.47300000000001</v>
      </c>
      <c r="S62" s="93">
        <v>-14.477512185929925</v>
      </c>
      <c r="T62" s="97">
        <f t="shared" si="25"/>
        <v>-0.36925000000000024</v>
      </c>
      <c r="U62" s="93">
        <f t="shared" si="29"/>
        <v>17.556073963603346</v>
      </c>
      <c r="V62" s="93">
        <f t="shared" si="21"/>
        <v>-14.477512185929925</v>
      </c>
      <c r="W62" s="38">
        <f t="shared" si="17"/>
        <v>16.675000000000001</v>
      </c>
      <c r="X62" s="38">
        <f t="shared" si="18"/>
        <v>0.76038938518200094</v>
      </c>
      <c r="Y62" s="38">
        <f t="shared" si="30"/>
        <v>568.98</v>
      </c>
      <c r="Z62" s="38">
        <f t="shared" si="31"/>
        <v>-1778.0625</v>
      </c>
      <c r="AA62" s="38">
        <f t="shared" si="32"/>
        <v>-1191.6471106148181</v>
      </c>
      <c r="AB62" s="38">
        <f t="shared" si="19"/>
        <v>-1760.0627823780874</v>
      </c>
      <c r="AC62" s="38">
        <f t="shared" si="26"/>
        <v>148960.06278237808</v>
      </c>
      <c r="AD62" s="71"/>
      <c r="AE62" s="33"/>
      <c r="AF62" s="33"/>
      <c r="AG62" s="33"/>
      <c r="AH62" s="33"/>
      <c r="AI62" s="33"/>
      <c r="AJ62" s="33"/>
    </row>
    <row r="63" spans="1:36" ht="18" x14ac:dyDescent="0.25">
      <c r="A63" s="33"/>
      <c r="B63" s="73"/>
      <c r="C63" s="73"/>
      <c r="D63" s="33"/>
      <c r="E63" s="33"/>
      <c r="F63" s="33"/>
      <c r="G63" s="33"/>
      <c r="H63" s="38"/>
      <c r="I63" s="38"/>
      <c r="J63" s="38">
        <v>1</v>
      </c>
      <c r="K63" s="38">
        <v>1</v>
      </c>
      <c r="L63" s="38">
        <v>27</v>
      </c>
      <c r="M63" s="103">
        <v>2.3E-2</v>
      </c>
      <c r="N63" s="38">
        <f t="shared" si="23"/>
        <v>0.30012396424610166</v>
      </c>
      <c r="O63" s="38">
        <f t="shared" si="27"/>
        <v>1.5000000000000009</v>
      </c>
      <c r="P63" s="38">
        <f t="shared" si="20"/>
        <v>3.3555000000000019</v>
      </c>
      <c r="Q63" s="38">
        <f t="shared" si="33"/>
        <v>1.5000000000000009</v>
      </c>
      <c r="R63" s="93">
        <f t="shared" si="28"/>
        <v>189.97300000000001</v>
      </c>
      <c r="S63" s="93">
        <v>-14.477512185929925</v>
      </c>
      <c r="T63" s="97">
        <f t="shared" si="25"/>
        <v>-0.37500000000000022</v>
      </c>
      <c r="U63" s="93">
        <f t="shared" si="29"/>
        <v>17.181073963603346</v>
      </c>
      <c r="V63" s="93">
        <f t="shared" si="21"/>
        <v>-14.477512185929925</v>
      </c>
      <c r="W63" s="38">
        <f t="shared" si="17"/>
        <v>16.675000000000001</v>
      </c>
      <c r="X63" s="38">
        <f t="shared" si="18"/>
        <v>0.78425550000000088</v>
      </c>
      <c r="Y63" s="38">
        <f t="shared" si="30"/>
        <v>568.98</v>
      </c>
      <c r="Z63" s="38">
        <f t="shared" si="31"/>
        <v>-1778.0625</v>
      </c>
      <c r="AA63" s="38">
        <f t="shared" si="32"/>
        <v>-1191.6232445000001</v>
      </c>
      <c r="AB63" s="38">
        <f t="shared" si="19"/>
        <v>-1787.4348667500012</v>
      </c>
      <c r="AC63" s="38">
        <f t="shared" si="26"/>
        <v>148987.43486675</v>
      </c>
      <c r="AD63" s="71"/>
      <c r="AE63" s="33"/>
      <c r="AF63" s="33"/>
      <c r="AG63" s="33"/>
      <c r="AH63" s="33"/>
      <c r="AI63" s="33"/>
      <c r="AJ63" s="33"/>
    </row>
    <row r="64" spans="1:36" ht="18" x14ac:dyDescent="0.25">
      <c r="A64" s="33"/>
      <c r="B64" s="73"/>
      <c r="C64" s="73"/>
      <c r="D64" s="33"/>
      <c r="E64" s="33"/>
      <c r="F64" s="33"/>
      <c r="G64" s="33"/>
      <c r="H64" s="38"/>
      <c r="I64" s="38"/>
      <c r="J64" s="38">
        <v>1</v>
      </c>
      <c r="K64" s="38">
        <v>1</v>
      </c>
      <c r="L64" s="38">
        <v>28</v>
      </c>
      <c r="M64" s="103">
        <v>1.2E-2</v>
      </c>
      <c r="N64" s="38">
        <f t="shared" si="23"/>
        <v>0.15658641612840085</v>
      </c>
      <c r="O64" s="38">
        <f t="shared" si="27"/>
        <v>1.5120000000000009</v>
      </c>
      <c r="P64" s="38">
        <f t="shared" si="20"/>
        <v>3.382344000000002</v>
      </c>
      <c r="Q64" s="38">
        <f t="shared" si="33"/>
        <v>1.5120000000000009</v>
      </c>
      <c r="R64" s="93">
        <f t="shared" si="28"/>
        <v>191.48500000000001</v>
      </c>
      <c r="S64" s="93">
        <v>-14.477512185929925</v>
      </c>
      <c r="T64" s="97">
        <f t="shared" si="25"/>
        <v>-0.37800000000000022</v>
      </c>
      <c r="U64" s="93">
        <f t="shared" si="29"/>
        <v>16.803073963603346</v>
      </c>
      <c r="V64" s="93">
        <f t="shared" si="21"/>
        <v>-14.477512185929925</v>
      </c>
      <c r="W64" s="38">
        <f t="shared" si="17"/>
        <v>8.7000000000000011</v>
      </c>
      <c r="X64" s="38">
        <f t="shared" si="18"/>
        <v>0.79685378035200094</v>
      </c>
      <c r="Y64" s="38">
        <f t="shared" si="30"/>
        <v>568.98</v>
      </c>
      <c r="Z64" s="38">
        <f t="shared" si="31"/>
        <v>-1778.0625</v>
      </c>
      <c r="AA64" s="38">
        <f t="shared" si="32"/>
        <v>-1199.585646219648</v>
      </c>
      <c r="AB64" s="38">
        <f t="shared" si="19"/>
        <v>-1813.7734970841088</v>
      </c>
      <c r="AC64" s="38">
        <f t="shared" si="26"/>
        <v>149013.7734970841</v>
      </c>
      <c r="AD64" s="71"/>
      <c r="AE64" s="33"/>
      <c r="AF64" s="33"/>
      <c r="AG64" s="33"/>
      <c r="AH64" s="33"/>
      <c r="AI64" s="33"/>
      <c r="AJ64" s="33"/>
    </row>
    <row r="65" spans="1:36" ht="18" x14ac:dyDescent="0.25">
      <c r="A65" s="33"/>
      <c r="B65" s="73"/>
      <c r="C65" s="73"/>
      <c r="D65" s="33"/>
      <c r="E65" s="33"/>
      <c r="F65" s="33"/>
      <c r="G65" s="33"/>
      <c r="H65" s="38"/>
      <c r="I65" s="38"/>
      <c r="J65" s="38">
        <v>1</v>
      </c>
      <c r="K65" s="38">
        <v>1</v>
      </c>
      <c r="L65" s="98">
        <v>29</v>
      </c>
      <c r="M65" s="103">
        <v>6.0000000000000001E-3</v>
      </c>
      <c r="N65" s="38">
        <f t="shared" si="23"/>
        <v>7.8293208064200426E-2</v>
      </c>
      <c r="O65" s="38">
        <f t="shared" si="27"/>
        <v>1.5180000000000009</v>
      </c>
      <c r="P65" s="38">
        <f t="shared" si="20"/>
        <v>3.3957660000000023</v>
      </c>
      <c r="Q65" s="38">
        <f t="shared" si="33"/>
        <v>1.5180000000000009</v>
      </c>
      <c r="R65" s="100">
        <f t="shared" si="28"/>
        <v>193.00300000000001</v>
      </c>
      <c r="S65" s="93">
        <v>0</v>
      </c>
      <c r="T65" s="97">
        <f>Q65*(SIN(RADIANS(S65)))</f>
        <v>0</v>
      </c>
      <c r="U65" s="100">
        <f t="shared" si="29"/>
        <v>16.803073963603346</v>
      </c>
      <c r="V65" s="93">
        <f t="shared" si="21"/>
        <v>0</v>
      </c>
      <c r="W65" s="38">
        <f t="shared" si="17"/>
        <v>4.3500000000000005</v>
      </c>
      <c r="X65" s="38">
        <f t="shared" si="18"/>
        <v>0.80319056479200102</v>
      </c>
      <c r="Y65" s="38">
        <f t="shared" si="30"/>
        <v>568.98</v>
      </c>
      <c r="Z65" s="38">
        <f t="shared" si="31"/>
        <v>0</v>
      </c>
      <c r="AA65" s="38">
        <f t="shared" si="32"/>
        <v>574.13319056479202</v>
      </c>
      <c r="AB65" s="38">
        <f t="shared" si="19"/>
        <v>871.53418327735483</v>
      </c>
      <c r="AC65" s="38">
        <f t="shared" si="26"/>
        <v>146328.46581672266</v>
      </c>
      <c r="AD65" s="71"/>
      <c r="AE65" s="33"/>
      <c r="AF65" s="33"/>
      <c r="AG65" s="33"/>
      <c r="AH65" s="33"/>
      <c r="AI65" s="33"/>
      <c r="AJ65" s="33"/>
    </row>
    <row r="66" spans="1:36" ht="18" x14ac:dyDescent="0.25">
      <c r="A66" s="33"/>
      <c r="B66" s="73"/>
      <c r="C66" s="73"/>
      <c r="D66" s="33"/>
      <c r="E66" s="33"/>
      <c r="F66" s="33"/>
      <c r="G66" s="33"/>
      <c r="H66" s="38"/>
      <c r="I66" s="38"/>
      <c r="J66" s="38">
        <v>1</v>
      </c>
      <c r="K66" s="38">
        <v>1</v>
      </c>
      <c r="L66" s="38">
        <v>30</v>
      </c>
      <c r="M66" s="103">
        <v>2.6</v>
      </c>
      <c r="N66" s="38">
        <f t="shared" si="23"/>
        <v>33.927056827820188</v>
      </c>
      <c r="O66" s="38">
        <f t="shared" si="27"/>
        <v>4.1180000000000012</v>
      </c>
      <c r="P66" s="38">
        <f t="shared" si="20"/>
        <v>9.2119660000000039</v>
      </c>
      <c r="Q66" s="38">
        <f t="shared" si="33"/>
        <v>4.1180000000000012</v>
      </c>
      <c r="R66" s="93">
        <f t="shared" si="28"/>
        <v>197.12100000000001</v>
      </c>
      <c r="S66" s="93">
        <v>0</v>
      </c>
      <c r="T66" s="97">
        <f t="shared" si="25"/>
        <v>0</v>
      </c>
      <c r="U66" s="93">
        <f t="shared" si="29"/>
        <v>16.803073963603346</v>
      </c>
      <c r="V66" s="93">
        <f t="shared" si="21"/>
        <v>0</v>
      </c>
      <c r="W66" s="38">
        <f t="shared" si="17"/>
        <v>1885</v>
      </c>
      <c r="X66" s="38">
        <f t="shared" si="18"/>
        <v>5.9108200735920029</v>
      </c>
      <c r="Y66" s="38">
        <f t="shared" si="30"/>
        <v>568.98</v>
      </c>
      <c r="Z66" s="38">
        <f t="shared" si="31"/>
        <v>0</v>
      </c>
      <c r="AA66" s="38">
        <f t="shared" si="32"/>
        <v>2459.8908200735923</v>
      </c>
      <c r="AB66" s="38">
        <f t="shared" si="19"/>
        <v>10129.830397063057</v>
      </c>
      <c r="AC66" s="38">
        <f t="shared" si="26"/>
        <v>137070.16960293695</v>
      </c>
      <c r="AD66" s="71"/>
      <c r="AE66" s="33"/>
      <c r="AF66" s="33"/>
      <c r="AG66" s="33"/>
      <c r="AH66" s="33"/>
      <c r="AI66" s="33"/>
      <c r="AJ66" s="33"/>
    </row>
    <row r="67" spans="1:36" ht="18" x14ac:dyDescent="0.25">
      <c r="A67" s="33"/>
      <c r="B67" s="73"/>
      <c r="C67" s="73"/>
      <c r="D67" s="33"/>
      <c r="E67" s="33"/>
      <c r="F67" s="33"/>
      <c r="G67" s="33"/>
      <c r="H67" s="38"/>
      <c r="I67" s="38"/>
      <c r="J67" s="38">
        <v>1</v>
      </c>
      <c r="K67" s="38">
        <v>1</v>
      </c>
      <c r="L67" s="38">
        <v>31</v>
      </c>
      <c r="M67" s="103">
        <v>4.9000000000000004</v>
      </c>
      <c r="N67" s="38">
        <f t="shared" si="23"/>
        <v>63.939453252430354</v>
      </c>
      <c r="O67" s="38">
        <f t="shared" si="27"/>
        <v>9.0180000000000007</v>
      </c>
      <c r="P67" s="38">
        <f t="shared" si="20"/>
        <v>20.173266000000002</v>
      </c>
      <c r="Q67" s="38">
        <f t="shared" si="33"/>
        <v>9.0180000000000007</v>
      </c>
      <c r="R67" s="93">
        <f t="shared" si="28"/>
        <v>206.13900000000001</v>
      </c>
      <c r="S67" s="93">
        <v>0</v>
      </c>
      <c r="T67" s="97">
        <f t="shared" si="25"/>
        <v>0</v>
      </c>
      <c r="U67" s="93">
        <f t="shared" si="29"/>
        <v>16.803073963603346</v>
      </c>
      <c r="V67" s="93">
        <f t="shared" si="21"/>
        <v>0</v>
      </c>
      <c r="W67" s="38">
        <f t="shared" si="17"/>
        <v>3552.5000000000005</v>
      </c>
      <c r="X67" s="38">
        <f t="shared" si="18"/>
        <v>28.346243724792004</v>
      </c>
      <c r="Y67" s="38">
        <f t="shared" si="30"/>
        <v>568.98</v>
      </c>
      <c r="Z67" s="38">
        <f t="shared" si="31"/>
        <v>0</v>
      </c>
      <c r="AA67" s="38">
        <f t="shared" si="32"/>
        <v>4149.8262437247922</v>
      </c>
      <c r="AB67" s="38">
        <f t="shared" si="19"/>
        <v>37423.13306591018</v>
      </c>
      <c r="AC67" s="38">
        <f t="shared" si="26"/>
        <v>109776.86693408982</v>
      </c>
      <c r="AD67" s="71"/>
      <c r="AE67" s="33"/>
      <c r="AF67" s="33"/>
      <c r="AG67" s="33"/>
      <c r="AH67" s="33"/>
      <c r="AI67" s="33"/>
      <c r="AJ67" s="33"/>
    </row>
    <row r="68" spans="1:36" ht="18" x14ac:dyDescent="0.25">
      <c r="A68" s="33"/>
      <c r="B68" s="73"/>
      <c r="C68" s="73"/>
      <c r="D68" s="33"/>
      <c r="E68" s="33"/>
      <c r="F68" s="33"/>
      <c r="G68" s="33"/>
      <c r="H68" s="38"/>
      <c r="I68" s="38"/>
      <c r="J68" s="38">
        <v>1</v>
      </c>
      <c r="K68" s="38">
        <v>1</v>
      </c>
      <c r="L68" s="38">
        <v>32</v>
      </c>
      <c r="M68" s="103">
        <v>5.3</v>
      </c>
      <c r="N68" s="38">
        <f t="shared" si="23"/>
        <v>69.159000456710373</v>
      </c>
      <c r="O68" s="38">
        <f t="shared" si="27"/>
        <v>14.318000000000001</v>
      </c>
      <c r="P68" s="38">
        <f t="shared" si="20"/>
        <v>32.029366000000003</v>
      </c>
      <c r="Q68" s="38">
        <f t="shared" si="33"/>
        <v>14.318000000000001</v>
      </c>
      <c r="R68" s="93">
        <f t="shared" si="28"/>
        <v>220.45700000000002</v>
      </c>
      <c r="S68" s="93">
        <v>0</v>
      </c>
      <c r="T68" s="97">
        <f t="shared" si="25"/>
        <v>0</v>
      </c>
      <c r="U68" s="93">
        <f t="shared" si="29"/>
        <v>16.803073963603346</v>
      </c>
      <c r="V68" s="93">
        <f t="shared" si="21"/>
        <v>0</v>
      </c>
      <c r="W68" s="38">
        <f t="shared" ref="W68:W104" si="34">$E$6*M68</f>
        <v>3842.5</v>
      </c>
      <c r="X68" s="38">
        <f t="shared" ref="X68:X104" si="35">0.5*$B$3*$E$14*$E$13*O68^2</f>
        <v>71.456176011192014</v>
      </c>
      <c r="Y68" s="38">
        <f t="shared" si="30"/>
        <v>568.98</v>
      </c>
      <c r="Z68" s="38">
        <f t="shared" si="31"/>
        <v>0</v>
      </c>
      <c r="AA68" s="38">
        <f t="shared" si="32"/>
        <v>4482.9361760111924</v>
      </c>
      <c r="AB68" s="38">
        <f t="shared" ref="AB68:AB99" si="36">AA68*O68</f>
        <v>64186.68016812826</v>
      </c>
      <c r="AC68" s="38">
        <f t="shared" si="26"/>
        <v>83013.319831871748</v>
      </c>
      <c r="AD68" s="71"/>
      <c r="AE68" s="33"/>
      <c r="AF68" s="33"/>
      <c r="AG68" s="33"/>
      <c r="AH68" s="33"/>
      <c r="AI68" s="33"/>
      <c r="AJ68" s="33"/>
    </row>
    <row r="69" spans="1:36" ht="18" x14ac:dyDescent="0.25">
      <c r="A69" s="33"/>
      <c r="B69" s="73"/>
      <c r="C69" s="73"/>
      <c r="D69" s="33"/>
      <c r="E69" s="33"/>
      <c r="F69" s="33"/>
      <c r="G69" s="33"/>
      <c r="H69" s="38"/>
      <c r="I69" s="38"/>
      <c r="J69" s="38">
        <v>1</v>
      </c>
      <c r="K69" s="38">
        <v>1</v>
      </c>
      <c r="L69" s="38">
        <v>33</v>
      </c>
      <c r="M69" s="103">
        <v>4.7</v>
      </c>
      <c r="N69" s="38">
        <f t="shared" si="23"/>
        <v>61.329679650290338</v>
      </c>
      <c r="O69" s="38">
        <f t="shared" si="27"/>
        <v>19.018000000000001</v>
      </c>
      <c r="P69" s="38">
        <f t="shared" si="20"/>
        <v>42.543266000000003</v>
      </c>
      <c r="Q69" s="38">
        <f t="shared" si="33"/>
        <v>19.018000000000001</v>
      </c>
      <c r="R69" s="93">
        <f t="shared" si="28"/>
        <v>239.47500000000002</v>
      </c>
      <c r="S69" s="93">
        <v>0</v>
      </c>
      <c r="T69" s="97">
        <f t="shared" si="25"/>
        <v>0</v>
      </c>
      <c r="U69" s="93">
        <f t="shared" si="29"/>
        <v>16.803073963603346</v>
      </c>
      <c r="V69" s="93">
        <f t="shared" ref="V69:V104" si="37">DEGREES(ASIN(T69/Q69))</f>
        <v>0</v>
      </c>
      <c r="W69" s="38">
        <f t="shared" si="34"/>
        <v>3407.5</v>
      </c>
      <c r="X69" s="38">
        <f t="shared" si="35"/>
        <v>126.067964604792</v>
      </c>
      <c r="Y69" s="38">
        <f t="shared" si="30"/>
        <v>568.98</v>
      </c>
      <c r="Z69" s="38">
        <f t="shared" si="31"/>
        <v>0</v>
      </c>
      <c r="AA69" s="38">
        <f t="shared" si="32"/>
        <v>4102.5479646047916</v>
      </c>
      <c r="AB69" s="38">
        <f t="shared" si="36"/>
        <v>78022.257190853925</v>
      </c>
      <c r="AC69" s="38">
        <f t="shared" si="26"/>
        <v>69177.742809146075</v>
      </c>
      <c r="AD69" s="71"/>
      <c r="AE69" s="33"/>
      <c r="AF69" s="33"/>
      <c r="AG69" s="33"/>
      <c r="AH69" s="33"/>
      <c r="AI69" s="33"/>
      <c r="AJ69" s="33"/>
    </row>
    <row r="70" spans="1:36" ht="18" x14ac:dyDescent="0.25">
      <c r="A70" s="33"/>
      <c r="B70" s="73"/>
      <c r="C70" s="73"/>
      <c r="D70" s="33"/>
      <c r="E70" s="33"/>
      <c r="F70" s="33"/>
      <c r="G70" s="33"/>
      <c r="H70" s="96"/>
      <c r="I70" s="38"/>
      <c r="J70" s="38">
        <v>1</v>
      </c>
      <c r="K70" s="38">
        <v>1</v>
      </c>
      <c r="L70" s="98">
        <v>34</v>
      </c>
      <c r="M70" s="103">
        <v>3.51</v>
      </c>
      <c r="N70" s="38">
        <f t="shared" si="23"/>
        <v>45.801526717557252</v>
      </c>
      <c r="O70" s="38">
        <f t="shared" si="27"/>
        <v>22.527999999999999</v>
      </c>
      <c r="P70" s="38">
        <f t="shared" si="20"/>
        <v>50.395136000000001</v>
      </c>
      <c r="Q70" s="38">
        <f t="shared" si="33"/>
        <v>22.527999999999999</v>
      </c>
      <c r="R70" s="100">
        <f t="shared" si="28"/>
        <v>262.00300000000004</v>
      </c>
      <c r="S70" s="93">
        <v>-7.4947174539266861</v>
      </c>
      <c r="T70" s="97">
        <f t="shared" si="25"/>
        <v>-2.9384347826086956</v>
      </c>
      <c r="U70" s="100">
        <f t="shared" si="29"/>
        <v>13.864639180994651</v>
      </c>
      <c r="V70" s="93">
        <f t="shared" si="37"/>
        <v>-7.4947174539266861</v>
      </c>
      <c r="W70" s="38">
        <f t="shared" si="34"/>
        <v>2544.75</v>
      </c>
      <c r="X70" s="38">
        <f t="shared" si="35"/>
        <v>176.89694384947197</v>
      </c>
      <c r="Y70" s="38">
        <f t="shared" si="30"/>
        <v>568.98</v>
      </c>
      <c r="Z70" s="38">
        <f t="shared" si="31"/>
        <v>-927.68478260869563</v>
      </c>
      <c r="AA70" s="38">
        <f t="shared" si="32"/>
        <v>2362.9421612407764</v>
      </c>
      <c r="AB70" s="38">
        <f t="shared" si="36"/>
        <v>53232.361008432206</v>
      </c>
      <c r="AC70" s="38">
        <f t="shared" si="26"/>
        <v>93967.638991567801</v>
      </c>
      <c r="AD70" s="71"/>
      <c r="AE70" s="33"/>
      <c r="AF70" s="33"/>
      <c r="AG70" s="33"/>
      <c r="AH70" s="33"/>
      <c r="AI70" s="33"/>
      <c r="AJ70" s="33"/>
    </row>
    <row r="71" spans="1:36" ht="18" x14ac:dyDescent="0.25">
      <c r="A71" s="33"/>
      <c r="B71" s="73"/>
      <c r="C71" s="73"/>
      <c r="D71" s="33"/>
      <c r="E71" s="33"/>
      <c r="F71" s="33"/>
      <c r="G71" s="33"/>
      <c r="H71" s="38"/>
      <c r="I71" s="38"/>
      <c r="J71" s="38">
        <v>1</v>
      </c>
      <c r="K71" s="38">
        <v>1</v>
      </c>
      <c r="L71" s="38">
        <v>35</v>
      </c>
      <c r="M71" s="103">
        <v>-6.6449999999999996</v>
      </c>
      <c r="N71" s="38">
        <f t="shared" si="23"/>
        <v>-86.70972793110198</v>
      </c>
      <c r="O71" s="38">
        <f t="shared" si="27"/>
        <v>15.882999999999999</v>
      </c>
      <c r="P71" s="38">
        <f t="shared" si="20"/>
        <v>35.530270999999999</v>
      </c>
      <c r="Q71" s="38">
        <f t="shared" si="33"/>
        <v>15.882999999999999</v>
      </c>
      <c r="R71" s="93">
        <f t="shared" si="28"/>
        <v>277.88600000000002</v>
      </c>
      <c r="S71" s="93">
        <v>-7.4947174539266861</v>
      </c>
      <c r="T71" s="97">
        <f t="shared" si="25"/>
        <v>-2.0716956521739127</v>
      </c>
      <c r="U71" s="93">
        <f t="shared" si="29"/>
        <v>11.792943528820738</v>
      </c>
      <c r="V71" s="93">
        <f t="shared" si="37"/>
        <v>-7.4947174539266861</v>
      </c>
      <c r="W71" s="38">
        <f t="shared" si="34"/>
        <v>-4817.625</v>
      </c>
      <c r="X71" s="38">
        <f t="shared" si="35"/>
        <v>87.93061825846199</v>
      </c>
      <c r="Y71" s="38">
        <f t="shared" si="30"/>
        <v>568.98</v>
      </c>
      <c r="Z71" s="38">
        <f t="shared" si="31"/>
        <v>-927.68478260869563</v>
      </c>
      <c r="AA71" s="38">
        <f t="shared" si="32"/>
        <v>-5088.3991643502341</v>
      </c>
      <c r="AB71" s="38">
        <f t="shared" si="36"/>
        <v>-80819.043927374762</v>
      </c>
      <c r="AC71" s="38">
        <f t="shared" si="26"/>
        <v>228019.04392737476</v>
      </c>
      <c r="AD71" s="71"/>
      <c r="AE71" s="33"/>
      <c r="AF71" s="33"/>
      <c r="AG71" s="33"/>
      <c r="AH71" s="33"/>
      <c r="AI71" s="33"/>
      <c r="AJ71" s="33"/>
    </row>
    <row r="72" spans="1:36" ht="18" x14ac:dyDescent="0.25">
      <c r="A72" s="33"/>
      <c r="B72" s="73"/>
      <c r="C72" s="73"/>
      <c r="D72" s="33"/>
      <c r="E72" s="33"/>
      <c r="F72" s="33"/>
      <c r="G72" s="33"/>
      <c r="H72" s="38"/>
      <c r="I72" s="38"/>
      <c r="J72" s="38">
        <v>1</v>
      </c>
      <c r="K72" s="38">
        <v>1</v>
      </c>
      <c r="L72" s="38">
        <v>36</v>
      </c>
      <c r="M72" s="103">
        <v>-7.55</v>
      </c>
      <c r="N72" s="38">
        <f t="shared" si="23"/>
        <v>-98.518953480785541</v>
      </c>
      <c r="O72" s="38">
        <f t="shared" si="27"/>
        <v>8.3329999999999984</v>
      </c>
      <c r="P72" s="38">
        <f t="shared" si="20"/>
        <v>18.640920999999999</v>
      </c>
      <c r="Q72" s="38">
        <f t="shared" si="33"/>
        <v>8.3329999999999984</v>
      </c>
      <c r="R72" s="93">
        <f t="shared" si="28"/>
        <v>286.21900000000005</v>
      </c>
      <c r="S72" s="93">
        <v>-7.4947174539266861</v>
      </c>
      <c r="T72" s="97">
        <f t="shared" si="25"/>
        <v>-1.0869130434782606</v>
      </c>
      <c r="U72" s="93">
        <f t="shared" si="29"/>
        <v>10.706030485342477</v>
      </c>
      <c r="V72" s="93">
        <f t="shared" si="37"/>
        <v>-7.4947174539266861</v>
      </c>
      <c r="W72" s="38">
        <f t="shared" si="34"/>
        <v>-5473.75</v>
      </c>
      <c r="X72" s="38">
        <f t="shared" si="35"/>
        <v>24.203480272061991</v>
      </c>
      <c r="Y72" s="38">
        <f t="shared" si="30"/>
        <v>568.98</v>
      </c>
      <c r="Z72" s="38">
        <f t="shared" si="31"/>
        <v>-927.68478260869563</v>
      </c>
      <c r="AA72" s="38">
        <f t="shared" si="32"/>
        <v>-5808.2513023366337</v>
      </c>
      <c r="AB72" s="38">
        <f t="shared" si="36"/>
        <v>-48400.158102371162</v>
      </c>
      <c r="AC72" s="38">
        <f t="shared" si="26"/>
        <v>195600.15810237115</v>
      </c>
      <c r="AD72" s="71"/>
      <c r="AE72" s="33"/>
      <c r="AF72" s="33"/>
      <c r="AG72" s="33"/>
      <c r="AH72" s="33"/>
      <c r="AI72" s="33"/>
      <c r="AJ72" s="33"/>
    </row>
    <row r="73" spans="1:36" ht="18" x14ac:dyDescent="0.25">
      <c r="A73" s="33"/>
      <c r="B73" s="73"/>
      <c r="C73" s="73"/>
      <c r="D73" s="33"/>
      <c r="E73" s="33"/>
      <c r="F73" s="33"/>
      <c r="G73" s="33"/>
      <c r="H73" s="96"/>
      <c r="I73" s="38"/>
      <c r="J73" s="38">
        <v>1</v>
      </c>
      <c r="K73" s="38">
        <v>1</v>
      </c>
      <c r="L73" s="98">
        <v>37</v>
      </c>
      <c r="M73" s="103">
        <v>-7.55</v>
      </c>
      <c r="N73" s="38">
        <f t="shared" si="23"/>
        <v>-98.518953480785541</v>
      </c>
      <c r="O73" s="38">
        <f t="shared" si="27"/>
        <v>0.78299999999999859</v>
      </c>
      <c r="P73" s="38">
        <f t="shared" si="20"/>
        <v>1.7515709999999969</v>
      </c>
      <c r="Q73" s="38">
        <f t="shared" si="33"/>
        <v>0.78299999999999859</v>
      </c>
      <c r="R73" s="100">
        <f t="shared" si="28"/>
        <v>287.00200000000007</v>
      </c>
      <c r="S73" s="93">
        <v>-7.3540352103988331</v>
      </c>
      <c r="T73" s="97">
        <f t="shared" si="25"/>
        <v>-0.10022399999999983</v>
      </c>
      <c r="U73" s="100">
        <f t="shared" si="29"/>
        <v>10.605806485342478</v>
      </c>
      <c r="V73" s="93">
        <f t="shared" si="37"/>
        <v>-7.3540352103988331</v>
      </c>
      <c r="W73" s="38">
        <f t="shared" si="34"/>
        <v>-5473.75</v>
      </c>
      <c r="X73" s="38">
        <f t="shared" si="35"/>
        <v>0.21369707566199922</v>
      </c>
      <c r="Y73" s="38">
        <f t="shared" si="30"/>
        <v>568.98</v>
      </c>
      <c r="Z73" s="38">
        <f t="shared" si="31"/>
        <v>-910.36800000000005</v>
      </c>
      <c r="AA73" s="38">
        <f t="shared" si="32"/>
        <v>-5814.924302924338</v>
      </c>
      <c r="AB73" s="38">
        <f t="shared" si="36"/>
        <v>-4553.0857291897482</v>
      </c>
      <c r="AC73" s="38">
        <f t="shared" si="26"/>
        <v>151753.08572918974</v>
      </c>
      <c r="AD73" s="71"/>
      <c r="AE73" s="33"/>
      <c r="AF73" s="33"/>
      <c r="AG73" s="33"/>
      <c r="AH73" s="33"/>
      <c r="AI73" s="33"/>
      <c r="AJ73" s="33"/>
    </row>
    <row r="74" spans="1:36" ht="18" x14ac:dyDescent="0.25">
      <c r="A74" s="33"/>
      <c r="B74" s="73"/>
      <c r="C74" s="73"/>
      <c r="D74" s="33"/>
      <c r="E74" s="33"/>
      <c r="F74" s="33"/>
      <c r="G74" s="33"/>
      <c r="H74" s="38"/>
      <c r="I74" s="38"/>
      <c r="J74" s="38">
        <v>1</v>
      </c>
      <c r="K74" s="38">
        <v>1</v>
      </c>
      <c r="L74" s="38">
        <v>38</v>
      </c>
      <c r="M74" s="103">
        <v>2.5</v>
      </c>
      <c r="N74" s="38">
        <f t="shared" si="23"/>
        <v>32.622170026750183</v>
      </c>
      <c r="O74" s="38">
        <f t="shared" si="27"/>
        <v>3.2829999999999986</v>
      </c>
      <c r="P74" s="38">
        <f t="shared" si="20"/>
        <v>7.3440709999999969</v>
      </c>
      <c r="Q74" s="38">
        <f t="shared" si="33"/>
        <v>3.2829999999999986</v>
      </c>
      <c r="R74" s="93">
        <f t="shared" si="28"/>
        <v>290.28500000000008</v>
      </c>
      <c r="S74" s="93">
        <v>-7.3540352103988331</v>
      </c>
      <c r="T74" s="97">
        <f t="shared" si="25"/>
        <v>-0.42022399999999982</v>
      </c>
      <c r="U74" s="93">
        <f t="shared" si="29"/>
        <v>10.185582485342479</v>
      </c>
      <c r="V74" s="93">
        <f t="shared" si="37"/>
        <v>-7.3540352103988331</v>
      </c>
      <c r="W74" s="38">
        <f t="shared" si="34"/>
        <v>1812.5</v>
      </c>
      <c r="X74" s="38">
        <f t="shared" si="35"/>
        <v>3.7567891456619966</v>
      </c>
      <c r="Y74" s="38">
        <f t="shared" si="30"/>
        <v>568.98</v>
      </c>
      <c r="Z74" s="38">
        <f t="shared" si="31"/>
        <v>-910.36800000000005</v>
      </c>
      <c r="AA74" s="38">
        <f t="shared" si="32"/>
        <v>1474.868789145662</v>
      </c>
      <c r="AB74" s="38">
        <f t="shared" si="36"/>
        <v>4841.9942347652068</v>
      </c>
      <c r="AC74" s="38">
        <f t="shared" si="26"/>
        <v>142358.00576523479</v>
      </c>
      <c r="AD74" s="71"/>
      <c r="AE74" s="33"/>
      <c r="AF74" s="33"/>
      <c r="AG74" s="33"/>
      <c r="AH74" s="33"/>
      <c r="AI74" s="33"/>
      <c r="AJ74" s="33"/>
    </row>
    <row r="75" spans="1:36" ht="18" x14ac:dyDescent="0.25">
      <c r="A75" s="33"/>
      <c r="B75" s="73"/>
      <c r="C75" s="73"/>
      <c r="D75" s="33"/>
      <c r="E75" s="33"/>
      <c r="F75" s="33"/>
      <c r="G75" s="33"/>
      <c r="H75" s="38"/>
      <c r="I75" s="38"/>
      <c r="J75" s="38">
        <v>1</v>
      </c>
      <c r="K75" s="38">
        <v>1</v>
      </c>
      <c r="L75" s="38">
        <v>39</v>
      </c>
      <c r="M75" s="103">
        <v>3.3</v>
      </c>
      <c r="N75" s="38">
        <f t="shared" si="23"/>
        <v>43.061264435310235</v>
      </c>
      <c r="O75" s="38">
        <f t="shared" si="27"/>
        <v>6.5829999999999984</v>
      </c>
      <c r="P75" s="38">
        <f t="shared" si="20"/>
        <v>14.726170999999997</v>
      </c>
      <c r="Q75" s="38">
        <f t="shared" si="33"/>
        <v>6.5829999999999984</v>
      </c>
      <c r="R75" s="93">
        <f t="shared" si="28"/>
        <v>296.86800000000005</v>
      </c>
      <c r="S75" s="93">
        <v>-7.3540352103988331</v>
      </c>
      <c r="T75" s="97">
        <f t="shared" si="25"/>
        <v>-0.84262399999999982</v>
      </c>
      <c r="U75" s="93">
        <f t="shared" si="29"/>
        <v>9.3429584853424785</v>
      </c>
      <c r="V75" s="93">
        <f t="shared" si="37"/>
        <v>-7.3540352103988331</v>
      </c>
      <c r="W75" s="38">
        <f t="shared" si="34"/>
        <v>2392.5</v>
      </c>
      <c r="X75" s="38">
        <f t="shared" si="35"/>
        <v>15.105070798061993</v>
      </c>
      <c r="Y75" s="38">
        <f t="shared" si="30"/>
        <v>568.98</v>
      </c>
      <c r="Z75" s="38">
        <f t="shared" si="31"/>
        <v>-910.36800000000005</v>
      </c>
      <c r="AA75" s="38">
        <f t="shared" si="32"/>
        <v>2066.2170707980622</v>
      </c>
      <c r="AB75" s="38">
        <f t="shared" si="36"/>
        <v>13601.90697706364</v>
      </c>
      <c r="AC75" s="38">
        <f t="shared" si="26"/>
        <v>133598.09302293637</v>
      </c>
      <c r="AD75" s="71"/>
      <c r="AE75" s="33"/>
      <c r="AF75" s="33"/>
      <c r="AG75" s="33"/>
      <c r="AH75" s="33"/>
      <c r="AI75" s="33"/>
      <c r="AJ75" s="33"/>
    </row>
    <row r="76" spans="1:36" ht="18" x14ac:dyDescent="0.25">
      <c r="A76" s="33"/>
      <c r="B76" s="73"/>
      <c r="C76" s="73"/>
      <c r="D76" s="33"/>
      <c r="E76" s="33"/>
      <c r="F76" s="33"/>
      <c r="G76" s="33"/>
      <c r="H76" s="96"/>
      <c r="I76" s="38"/>
      <c r="J76" s="38">
        <v>1</v>
      </c>
      <c r="K76" s="38">
        <v>1</v>
      </c>
      <c r="L76" s="98">
        <v>40</v>
      </c>
      <c r="M76" s="103">
        <v>3.55</v>
      </c>
      <c r="N76" s="38">
        <f t="shared" si="23"/>
        <v>46.323481437985251</v>
      </c>
      <c r="O76" s="38">
        <f t="shared" si="27"/>
        <v>10.132999999999999</v>
      </c>
      <c r="P76" s="38">
        <f t="shared" si="20"/>
        <v>22.667521000000001</v>
      </c>
      <c r="Q76" s="38">
        <f t="shared" si="33"/>
        <v>10.132999999999999</v>
      </c>
      <c r="R76" s="100">
        <f t="shared" si="28"/>
        <v>307.00100000000003</v>
      </c>
      <c r="S76" s="93">
        <v>0</v>
      </c>
      <c r="T76" s="97">
        <f t="shared" si="25"/>
        <v>0</v>
      </c>
      <c r="U76" s="100">
        <f t="shared" si="29"/>
        <v>9.3429584853424785</v>
      </c>
      <c r="V76" s="93">
        <f t="shared" si="37"/>
        <v>0</v>
      </c>
      <c r="W76" s="38">
        <f t="shared" si="34"/>
        <v>2573.75</v>
      </c>
      <c r="X76" s="38">
        <f t="shared" si="35"/>
        <v>35.789129922461996</v>
      </c>
      <c r="Y76" s="38">
        <f t="shared" si="30"/>
        <v>568.98</v>
      </c>
      <c r="Z76" s="38">
        <f t="shared" si="31"/>
        <v>0</v>
      </c>
      <c r="AA76" s="38">
        <f t="shared" si="32"/>
        <v>3178.5191299224621</v>
      </c>
      <c r="AB76" s="38">
        <f t="shared" si="36"/>
        <v>32207.934343504305</v>
      </c>
      <c r="AC76" s="38">
        <f t="shared" si="26"/>
        <v>114992.06565649569</v>
      </c>
      <c r="AD76" s="71"/>
      <c r="AE76" s="33"/>
      <c r="AF76" s="33"/>
      <c r="AG76" s="33"/>
      <c r="AH76" s="33"/>
      <c r="AI76" s="33"/>
      <c r="AJ76" s="33"/>
    </row>
    <row r="77" spans="1:36" ht="18" x14ac:dyDescent="0.25">
      <c r="A77" s="33"/>
      <c r="B77" s="73"/>
      <c r="C77" s="73"/>
      <c r="D77" s="33"/>
      <c r="E77" s="33"/>
      <c r="F77" s="33"/>
      <c r="G77" s="33"/>
      <c r="H77" s="38"/>
      <c r="I77" s="38"/>
      <c r="J77" s="38">
        <v>1</v>
      </c>
      <c r="K77" s="38">
        <v>1</v>
      </c>
      <c r="L77" s="38">
        <v>41</v>
      </c>
      <c r="M77" s="103">
        <v>3.7</v>
      </c>
      <c r="N77" s="38">
        <f t="shared" si="23"/>
        <v>48.280811639590269</v>
      </c>
      <c r="O77" s="38">
        <f t="shared" si="27"/>
        <v>13.832999999999998</v>
      </c>
      <c r="P77" s="38">
        <f t="shared" si="20"/>
        <v>30.944420999999998</v>
      </c>
      <c r="Q77" s="38">
        <f t="shared" si="33"/>
        <v>13.832999999999998</v>
      </c>
      <c r="R77" s="93">
        <f t="shared" si="28"/>
        <v>320.83400000000006</v>
      </c>
      <c r="S77" s="93">
        <v>0</v>
      </c>
      <c r="T77" s="97">
        <f t="shared" si="25"/>
        <v>0</v>
      </c>
      <c r="U77" s="93">
        <f t="shared" si="29"/>
        <v>9.3429584853424785</v>
      </c>
      <c r="V77" s="93">
        <f t="shared" si="37"/>
        <v>0</v>
      </c>
      <c r="W77" s="38">
        <f t="shared" si="34"/>
        <v>2682.5</v>
      </c>
      <c r="X77" s="38">
        <f t="shared" si="35"/>
        <v>66.697231726061972</v>
      </c>
      <c r="Y77" s="38">
        <f t="shared" si="30"/>
        <v>568.98</v>
      </c>
      <c r="Z77" s="38">
        <f t="shared" si="31"/>
        <v>0</v>
      </c>
      <c r="AA77" s="38">
        <f t="shared" si="32"/>
        <v>3318.177231726062</v>
      </c>
      <c r="AB77" s="38">
        <f t="shared" si="36"/>
        <v>45900.345646466609</v>
      </c>
      <c r="AC77" s="38">
        <f t="shared" si="26"/>
        <v>101299.65435353339</v>
      </c>
      <c r="AD77" s="71"/>
      <c r="AE77" s="33"/>
      <c r="AF77" s="33"/>
      <c r="AG77" s="33"/>
      <c r="AH77" s="33"/>
      <c r="AI77" s="33"/>
      <c r="AJ77" s="33"/>
    </row>
    <row r="78" spans="1:36" ht="18" x14ac:dyDescent="0.25">
      <c r="A78" s="33"/>
      <c r="B78" s="73"/>
      <c r="C78" s="73"/>
      <c r="D78" s="33"/>
      <c r="E78" s="33"/>
      <c r="F78" s="33"/>
      <c r="G78" s="33"/>
      <c r="H78" s="38"/>
      <c r="I78" s="38"/>
      <c r="J78" s="38">
        <v>1</v>
      </c>
      <c r="K78" s="38">
        <v>1</v>
      </c>
      <c r="L78" s="38">
        <v>42</v>
      </c>
      <c r="M78" s="103">
        <v>3.8</v>
      </c>
      <c r="N78" s="38">
        <f t="shared" si="23"/>
        <v>49.585698440660266</v>
      </c>
      <c r="O78" s="38">
        <f t="shared" si="27"/>
        <v>17.632999999999999</v>
      </c>
      <c r="P78" s="38">
        <f t="shared" si="20"/>
        <v>39.445020999999997</v>
      </c>
      <c r="Q78" s="38">
        <f t="shared" si="33"/>
        <v>17.632999999999999</v>
      </c>
      <c r="R78" s="93">
        <f t="shared" si="28"/>
        <v>338.46700000000004</v>
      </c>
      <c r="S78" s="93">
        <v>0</v>
      </c>
      <c r="T78" s="97">
        <f t="shared" si="25"/>
        <v>0</v>
      </c>
      <c r="U78" s="93">
        <f t="shared" si="29"/>
        <v>9.3429584853424785</v>
      </c>
      <c r="V78" s="93">
        <f t="shared" si="37"/>
        <v>0</v>
      </c>
      <c r="W78" s="38">
        <f t="shared" si="34"/>
        <v>2755</v>
      </c>
      <c r="X78" s="38">
        <f t="shared" si="35"/>
        <v>108.37459063246199</v>
      </c>
      <c r="Y78" s="38">
        <f t="shared" si="30"/>
        <v>568.98</v>
      </c>
      <c r="Z78" s="38">
        <f t="shared" si="31"/>
        <v>0</v>
      </c>
      <c r="AA78" s="38">
        <f t="shared" si="32"/>
        <v>3432.3545906324621</v>
      </c>
      <c r="AB78" s="38">
        <f t="shared" si="36"/>
        <v>60522.708496622203</v>
      </c>
      <c r="AC78" s="38">
        <f t="shared" si="26"/>
        <v>86677.291503377797</v>
      </c>
      <c r="AD78" s="71"/>
      <c r="AE78" s="33"/>
      <c r="AF78" s="33"/>
      <c r="AG78" s="33"/>
      <c r="AH78" s="33"/>
      <c r="AI78" s="33"/>
      <c r="AJ78" s="33"/>
    </row>
    <row r="79" spans="1:36" ht="18" x14ac:dyDescent="0.25">
      <c r="A79" s="33"/>
      <c r="B79" s="73"/>
      <c r="C79" s="73"/>
      <c r="D79" s="33"/>
      <c r="E79" s="33"/>
      <c r="F79" s="33"/>
      <c r="G79" s="33"/>
      <c r="H79" s="96"/>
      <c r="I79" s="38"/>
      <c r="J79" s="38">
        <v>1</v>
      </c>
      <c r="K79" s="38">
        <v>1</v>
      </c>
      <c r="L79" s="98">
        <v>43</v>
      </c>
      <c r="M79" s="103">
        <v>3.9</v>
      </c>
      <c r="N79" s="38">
        <f t="shared" si="23"/>
        <v>50.890585241730278</v>
      </c>
      <c r="O79" s="38">
        <f t="shared" si="27"/>
        <v>21.532999999999998</v>
      </c>
      <c r="P79" s="38">
        <f t="shared" si="20"/>
        <v>48.169320999999997</v>
      </c>
      <c r="Q79" s="38">
        <f t="shared" si="33"/>
        <v>21.532999999999998</v>
      </c>
      <c r="R79" s="100">
        <f t="shared" si="28"/>
        <v>360.00000000000006</v>
      </c>
      <c r="S79" s="93">
        <v>7.37</v>
      </c>
      <c r="T79" s="97">
        <f t="shared" si="25"/>
        <v>2.7621744537643154</v>
      </c>
      <c r="U79" s="100">
        <f t="shared" si="29"/>
        <v>12.105132939106793</v>
      </c>
      <c r="V79" s="93">
        <f t="shared" si="37"/>
        <v>7.3699999999999983</v>
      </c>
      <c r="W79" s="38">
        <f t="shared" si="34"/>
        <v>2827.5</v>
      </c>
      <c r="X79" s="38">
        <f t="shared" si="35"/>
        <v>161.61591888166197</v>
      </c>
      <c r="Y79" s="38">
        <f t="shared" si="30"/>
        <v>568.98</v>
      </c>
      <c r="Z79" s="38">
        <f t="shared" si="31"/>
        <v>912.3334072718734</v>
      </c>
      <c r="AA79" s="38">
        <f t="shared" si="32"/>
        <v>4470.4293261535349</v>
      </c>
      <c r="AB79" s="38">
        <f t="shared" si="36"/>
        <v>96261.754680064056</v>
      </c>
      <c r="AC79" s="38">
        <f t="shared" si="26"/>
        <v>50938.245319935944</v>
      </c>
      <c r="AD79" s="71"/>
      <c r="AE79" s="33"/>
      <c r="AF79" s="33"/>
      <c r="AG79" s="33"/>
      <c r="AH79" s="33"/>
      <c r="AI79" s="33"/>
      <c r="AJ79" s="33"/>
    </row>
    <row r="80" spans="1:36" ht="18" x14ac:dyDescent="0.25">
      <c r="A80" s="33"/>
      <c r="B80" s="73"/>
      <c r="C80" s="73"/>
      <c r="D80" s="33"/>
      <c r="E80" s="33"/>
      <c r="F80" s="33"/>
      <c r="G80" s="33"/>
      <c r="H80" s="96"/>
      <c r="I80" s="38"/>
      <c r="J80" s="38">
        <v>1</v>
      </c>
      <c r="K80" s="38">
        <v>1</v>
      </c>
      <c r="L80" s="98">
        <v>44</v>
      </c>
      <c r="M80" s="103">
        <v>1.47</v>
      </c>
      <c r="N80" s="38">
        <f t="shared" si="23"/>
        <v>19.181835975729104</v>
      </c>
      <c r="O80" s="38">
        <f t="shared" si="27"/>
        <v>23.002999999999997</v>
      </c>
      <c r="P80" s="38">
        <f t="shared" si="20"/>
        <v>51.457710999999996</v>
      </c>
      <c r="Q80" s="38">
        <f t="shared" si="33"/>
        <v>23.002999999999997</v>
      </c>
      <c r="R80" s="100">
        <f t="shared" si="28"/>
        <v>383.00300000000004</v>
      </c>
      <c r="S80" s="93">
        <v>9.2100000000000009</v>
      </c>
      <c r="T80" s="97">
        <f t="shared" si="25"/>
        <v>3.6817100402412204</v>
      </c>
      <c r="U80" s="100">
        <f t="shared" si="29"/>
        <v>15.786842979348014</v>
      </c>
      <c r="V80" s="93">
        <f t="shared" si="37"/>
        <v>9.2100000000000009</v>
      </c>
      <c r="W80" s="38">
        <f t="shared" si="34"/>
        <v>1065.75</v>
      </c>
      <c r="X80" s="38">
        <f t="shared" si="35"/>
        <v>184.43528614102195</v>
      </c>
      <c r="Y80" s="38">
        <v>0</v>
      </c>
      <c r="Z80" s="38">
        <f t="shared" si="31"/>
        <v>1138.3403135984709</v>
      </c>
      <c r="AA80" s="38">
        <f t="shared" si="32"/>
        <v>2388.5255997394929</v>
      </c>
      <c r="AB80" s="38">
        <f t="shared" si="36"/>
        <v>54943.254370807546</v>
      </c>
      <c r="AC80" s="38">
        <f t="shared" si="26"/>
        <v>92256.745629192446</v>
      </c>
      <c r="AD80" s="71"/>
      <c r="AE80" s="33"/>
      <c r="AF80" s="33"/>
      <c r="AG80" s="33"/>
      <c r="AH80" s="33"/>
      <c r="AI80" s="33"/>
      <c r="AJ80" s="33"/>
    </row>
    <row r="81" spans="1:36" ht="18" x14ac:dyDescent="0.25">
      <c r="A81" s="33"/>
      <c r="B81" s="73"/>
      <c r="C81" s="73"/>
      <c r="D81" s="33"/>
      <c r="E81" s="33"/>
      <c r="F81" s="33"/>
      <c r="G81" s="33"/>
      <c r="H81" s="38"/>
      <c r="I81" s="38"/>
      <c r="J81" s="38">
        <v>1</v>
      </c>
      <c r="K81" s="38">
        <v>1</v>
      </c>
      <c r="L81" s="38">
        <v>45</v>
      </c>
      <c r="M81" s="103">
        <v>-3.3</v>
      </c>
      <c r="N81" s="38">
        <f t="shared" si="23"/>
        <v>-43.061264435310235</v>
      </c>
      <c r="O81" s="38">
        <f t="shared" si="27"/>
        <v>19.702999999999996</v>
      </c>
      <c r="P81" s="38">
        <f t="shared" si="20"/>
        <v>44.075610999999995</v>
      </c>
      <c r="Q81" s="38">
        <f t="shared" si="33"/>
        <v>19.702999999999996</v>
      </c>
      <c r="R81" s="93">
        <f t="shared" si="28"/>
        <v>402.70600000000002</v>
      </c>
      <c r="S81" s="93">
        <v>3.82</v>
      </c>
      <c r="T81" s="97">
        <f t="shared" si="25"/>
        <v>1.3126571036192889</v>
      </c>
      <c r="U81" s="93">
        <f t="shared" si="29"/>
        <v>17.099500082967303</v>
      </c>
      <c r="V81" s="93">
        <f t="shared" si="37"/>
        <v>3.8200000000000003</v>
      </c>
      <c r="W81" s="38">
        <f t="shared" si="34"/>
        <v>-2392.5</v>
      </c>
      <c r="X81" s="38">
        <f t="shared" si="35"/>
        <v>135.31307691262194</v>
      </c>
      <c r="Y81" s="38">
        <f t="shared" si="30"/>
        <v>568.98</v>
      </c>
      <c r="Z81" s="38">
        <f t="shared" si="31"/>
        <v>473.83370477674919</v>
      </c>
      <c r="AA81" s="38">
        <f t="shared" si="32"/>
        <v>-1214.373218310629</v>
      </c>
      <c r="AB81" s="38">
        <f t="shared" si="36"/>
        <v>-23926.795520374319</v>
      </c>
      <c r="AC81" s="38">
        <f t="shared" si="26"/>
        <v>171126.79552037432</v>
      </c>
      <c r="AD81" s="71"/>
      <c r="AE81" s="33"/>
      <c r="AF81" s="33"/>
      <c r="AG81" s="33"/>
      <c r="AH81" s="33"/>
      <c r="AI81" s="33"/>
      <c r="AJ81" s="33"/>
    </row>
    <row r="82" spans="1:36" ht="18" x14ac:dyDescent="0.25">
      <c r="A82" s="33"/>
      <c r="B82" s="73"/>
      <c r="C82" s="73"/>
      <c r="D82" s="33"/>
      <c r="E82" s="33"/>
      <c r="F82" s="33"/>
      <c r="G82" s="33"/>
      <c r="H82" s="38"/>
      <c r="I82" s="38"/>
      <c r="J82" s="38">
        <v>1</v>
      </c>
      <c r="K82" s="38">
        <v>1</v>
      </c>
      <c r="L82" s="38">
        <v>46</v>
      </c>
      <c r="M82" s="103">
        <v>-3.1</v>
      </c>
      <c r="N82" s="38">
        <f t="shared" si="23"/>
        <v>-40.451490833170226</v>
      </c>
      <c r="O82" s="38">
        <f t="shared" si="27"/>
        <v>16.602999999999994</v>
      </c>
      <c r="P82" s="38">
        <f t="shared" si="20"/>
        <v>37.140910999999988</v>
      </c>
      <c r="Q82" s="38">
        <f t="shared" si="33"/>
        <v>16.602999999999994</v>
      </c>
      <c r="R82" s="93">
        <f t="shared" si="28"/>
        <v>419.30900000000003</v>
      </c>
      <c r="S82" s="93">
        <v>9.2068962213459002</v>
      </c>
      <c r="T82" s="97">
        <f t="shared" si="25"/>
        <v>2.6564799999999993</v>
      </c>
      <c r="U82" s="93">
        <f t="shared" si="29"/>
        <v>19.755980082967302</v>
      </c>
      <c r="V82" s="93">
        <f t="shared" si="37"/>
        <v>9.2068962213459002</v>
      </c>
      <c r="W82" s="38">
        <f t="shared" si="34"/>
        <v>-2247.5</v>
      </c>
      <c r="X82" s="38">
        <f t="shared" si="35"/>
        <v>96.083361993821924</v>
      </c>
      <c r="Y82" s="38">
        <f t="shared" si="30"/>
        <v>568.98</v>
      </c>
      <c r="Z82" s="38">
        <f t="shared" si="31"/>
        <v>1137.96</v>
      </c>
      <c r="AA82" s="38">
        <f t="shared" si="32"/>
        <v>-444.47663800617806</v>
      </c>
      <c r="AB82" s="38">
        <f t="shared" si="36"/>
        <v>-7379.6456208165719</v>
      </c>
      <c r="AC82" s="38">
        <f t="shared" si="26"/>
        <v>154579.64562081656</v>
      </c>
      <c r="AD82" s="71"/>
      <c r="AE82" s="33"/>
      <c r="AF82" s="33"/>
      <c r="AG82" s="33"/>
      <c r="AH82" s="33"/>
      <c r="AI82" s="33"/>
      <c r="AJ82" s="33"/>
    </row>
    <row r="83" spans="1:36" ht="18" x14ac:dyDescent="0.25">
      <c r="A83" s="33"/>
      <c r="B83" s="73"/>
      <c r="C83" s="73"/>
      <c r="D83" s="33"/>
      <c r="E83" s="33"/>
      <c r="F83" s="33"/>
      <c r="G83" s="33"/>
      <c r="H83" s="96"/>
      <c r="I83" s="38"/>
      <c r="J83" s="38">
        <v>1</v>
      </c>
      <c r="K83" s="38">
        <v>1</v>
      </c>
      <c r="L83" s="98">
        <v>47</v>
      </c>
      <c r="M83" s="103">
        <v>-2.91</v>
      </c>
      <c r="N83" s="38">
        <f t="shared" si="23"/>
        <v>-37.972205911137216</v>
      </c>
      <c r="O83" s="38">
        <f t="shared" si="27"/>
        <v>13.692999999999994</v>
      </c>
      <c r="P83" s="38">
        <f t="shared" si="20"/>
        <v>30.631240999999989</v>
      </c>
      <c r="Q83" s="38">
        <f t="shared" si="33"/>
        <v>13.692999999999994</v>
      </c>
      <c r="R83" s="102">
        <f t="shared" si="28"/>
        <v>433.00200000000001</v>
      </c>
      <c r="S83" s="93">
        <v>6.89</v>
      </c>
      <c r="T83" s="97">
        <f t="shared" si="25"/>
        <v>1.6426611388537391</v>
      </c>
      <c r="U83" s="100">
        <f t="shared" si="29"/>
        <v>21.398641221821041</v>
      </c>
      <c r="V83" s="93">
        <f t="shared" si="37"/>
        <v>6.89</v>
      </c>
      <c r="W83" s="38">
        <f t="shared" si="34"/>
        <v>-2109.75</v>
      </c>
      <c r="X83" s="38">
        <f t="shared" si="35"/>
        <v>65.354014674941936</v>
      </c>
      <c r="Y83" s="38">
        <f t="shared" si="30"/>
        <v>568.98</v>
      </c>
      <c r="Z83" s="38">
        <f t="shared" si="31"/>
        <v>853.21088766614412</v>
      </c>
      <c r="AA83" s="38">
        <f t="shared" si="32"/>
        <v>-622.20509765891393</v>
      </c>
      <c r="AB83" s="38">
        <f t="shared" si="36"/>
        <v>-8519.8544022435053</v>
      </c>
      <c r="AC83" s="38">
        <f t="shared" si="26"/>
        <v>155719.85440224351</v>
      </c>
      <c r="AD83" s="71"/>
      <c r="AE83" s="33"/>
      <c r="AF83" s="33"/>
      <c r="AG83" s="33"/>
      <c r="AH83" s="33"/>
      <c r="AI83" s="33"/>
      <c r="AJ83" s="33"/>
    </row>
    <row r="84" spans="1:36" ht="18" x14ac:dyDescent="0.25">
      <c r="A84" s="33"/>
      <c r="B84" s="73"/>
      <c r="C84" s="73"/>
      <c r="D84" s="33"/>
      <c r="E84" s="33"/>
      <c r="F84" s="33"/>
      <c r="G84" s="33"/>
      <c r="H84" s="38"/>
      <c r="I84" s="38"/>
      <c r="J84" s="38">
        <v>1</v>
      </c>
      <c r="K84" s="38">
        <v>1</v>
      </c>
      <c r="L84" s="38">
        <v>48</v>
      </c>
      <c r="M84" s="103">
        <v>-2</v>
      </c>
      <c r="N84" s="38">
        <f t="shared" si="23"/>
        <v>-26.097736021400141</v>
      </c>
      <c r="O84" s="38">
        <f t="shared" si="27"/>
        <v>11.692999999999994</v>
      </c>
      <c r="P84" s="38">
        <f t="shared" si="20"/>
        <v>26.157240999999988</v>
      </c>
      <c r="Q84" s="38">
        <f t="shared" si="33"/>
        <v>11.692999999999994</v>
      </c>
      <c r="R84" s="93">
        <f t="shared" si="28"/>
        <v>444.69499999999999</v>
      </c>
      <c r="S84" s="93">
        <v>6.89</v>
      </c>
      <c r="T84" s="97">
        <f t="shared" si="25"/>
        <v>1.4027340025280632</v>
      </c>
      <c r="U84" s="93">
        <f t="shared" si="29"/>
        <v>22.801375224349105</v>
      </c>
      <c r="V84" s="93">
        <f t="shared" si="37"/>
        <v>6.89</v>
      </c>
      <c r="W84" s="38">
        <f t="shared" si="34"/>
        <v>-1450</v>
      </c>
      <c r="X84" s="38">
        <f t="shared" si="35"/>
        <v>47.657027898941948</v>
      </c>
      <c r="Y84" s="38">
        <f t="shared" si="30"/>
        <v>568.98</v>
      </c>
      <c r="Z84" s="38">
        <f t="shared" si="31"/>
        <v>853.21088766614412</v>
      </c>
      <c r="AA84" s="38">
        <f t="shared" si="32"/>
        <v>19.847915565086168</v>
      </c>
      <c r="AB84" s="38">
        <f t="shared" si="36"/>
        <v>232.08167670255244</v>
      </c>
      <c r="AC84" s="38">
        <f t="shared" si="26"/>
        <v>146967.91832329746</v>
      </c>
      <c r="AD84" s="71"/>
      <c r="AE84" s="33"/>
      <c r="AF84" s="33"/>
      <c r="AG84" s="33"/>
      <c r="AH84" s="33"/>
      <c r="AI84" s="33"/>
      <c r="AJ84" s="33"/>
    </row>
    <row r="85" spans="1:36" ht="18" x14ac:dyDescent="0.25">
      <c r="A85" s="33"/>
      <c r="B85" s="73"/>
      <c r="C85" s="73"/>
      <c r="D85" s="33"/>
      <c r="E85" s="33"/>
      <c r="F85" s="33"/>
      <c r="G85" s="33"/>
      <c r="H85" s="38"/>
      <c r="I85" s="38"/>
      <c r="J85" s="38">
        <v>1</v>
      </c>
      <c r="K85" s="38">
        <v>1</v>
      </c>
      <c r="L85" s="38">
        <v>49</v>
      </c>
      <c r="M85" s="103">
        <v>-1.5</v>
      </c>
      <c r="N85" s="38">
        <f t="shared" si="23"/>
        <v>-19.573302016050107</v>
      </c>
      <c r="O85" s="38">
        <f t="shared" si="27"/>
        <v>10.192999999999994</v>
      </c>
      <c r="P85" s="38">
        <f t="shared" si="20"/>
        <v>22.801740999999989</v>
      </c>
      <c r="Q85" s="38">
        <f t="shared" si="33"/>
        <v>10.192999999999994</v>
      </c>
      <c r="R85" s="93">
        <f t="shared" si="28"/>
        <v>454.88799999999998</v>
      </c>
      <c r="S85" s="93">
        <v>6.89</v>
      </c>
      <c r="T85" s="97">
        <f t="shared" si="25"/>
        <v>1.2227886502838063</v>
      </c>
      <c r="U85" s="93">
        <f t="shared" si="29"/>
        <v>24.024163874632912</v>
      </c>
      <c r="V85" s="93">
        <f t="shared" si="37"/>
        <v>6.89</v>
      </c>
      <c r="W85" s="38">
        <f t="shared" si="34"/>
        <v>-1087.5</v>
      </c>
      <c r="X85" s="38">
        <f t="shared" si="35"/>
        <v>36.214217316941962</v>
      </c>
      <c r="Y85" s="38">
        <f t="shared" si="30"/>
        <v>568.98</v>
      </c>
      <c r="Z85" s="38">
        <f t="shared" si="31"/>
        <v>853.21088766614412</v>
      </c>
      <c r="AA85" s="38">
        <f t="shared" si="32"/>
        <v>370.90510498308595</v>
      </c>
      <c r="AB85" s="38">
        <f t="shared" si="36"/>
        <v>3780.6357350925928</v>
      </c>
      <c r="AC85" s="38">
        <f t="shared" si="26"/>
        <v>143419.3642649074</v>
      </c>
      <c r="AD85" s="71"/>
      <c r="AE85" s="33"/>
      <c r="AF85" s="33"/>
      <c r="AG85" s="33"/>
      <c r="AH85" s="33"/>
      <c r="AI85" s="33"/>
      <c r="AJ85" s="33"/>
    </row>
    <row r="86" spans="1:36" ht="18" x14ac:dyDescent="0.25">
      <c r="A86" s="33"/>
      <c r="B86" s="73"/>
      <c r="C86" s="73"/>
      <c r="D86" s="33"/>
      <c r="E86" s="33"/>
      <c r="F86" s="33"/>
      <c r="G86" s="33"/>
      <c r="H86" s="38"/>
      <c r="I86" s="38"/>
      <c r="J86" s="38">
        <v>1</v>
      </c>
      <c r="K86" s="38">
        <v>1</v>
      </c>
      <c r="L86" s="38">
        <v>50</v>
      </c>
      <c r="M86" s="103">
        <v>-1.2</v>
      </c>
      <c r="N86" s="38">
        <f t="shared" si="23"/>
        <v>-15.658641612840086</v>
      </c>
      <c r="O86" s="38">
        <f t="shared" si="27"/>
        <v>8.992999999999995</v>
      </c>
      <c r="P86" s="38">
        <f t="shared" si="20"/>
        <v>20.117340999999989</v>
      </c>
      <c r="Q86" s="38">
        <f t="shared" si="33"/>
        <v>8.992999999999995</v>
      </c>
      <c r="R86" s="93">
        <f t="shared" si="28"/>
        <v>463.88099999999997</v>
      </c>
      <c r="S86" s="93">
        <v>6.89</v>
      </c>
      <c r="T86" s="97">
        <f t="shared" si="25"/>
        <v>1.0788323684884009</v>
      </c>
      <c r="U86" s="93">
        <f t="shared" si="29"/>
        <v>25.102996243121311</v>
      </c>
      <c r="V86" s="93">
        <f t="shared" si="37"/>
        <v>6.89</v>
      </c>
      <c r="W86" s="38">
        <f t="shared" si="34"/>
        <v>-870</v>
      </c>
      <c r="X86" s="38">
        <f t="shared" si="35"/>
        <v>28.189296771341969</v>
      </c>
      <c r="Y86" s="38">
        <f t="shared" si="30"/>
        <v>568.98</v>
      </c>
      <c r="Z86" s="38">
        <f t="shared" si="31"/>
        <v>853.21088766614412</v>
      </c>
      <c r="AA86" s="38">
        <f t="shared" si="32"/>
        <v>580.38018443748615</v>
      </c>
      <c r="AB86" s="38">
        <f t="shared" si="36"/>
        <v>5219.3589986463103</v>
      </c>
      <c r="AC86" s="38">
        <f t="shared" si="26"/>
        <v>141980.64100135368</v>
      </c>
      <c r="AD86" s="71"/>
      <c r="AE86" s="33"/>
      <c r="AF86" s="33"/>
      <c r="AG86" s="33"/>
      <c r="AH86" s="33"/>
      <c r="AI86" s="33"/>
      <c r="AJ86" s="33"/>
    </row>
    <row r="87" spans="1:36" ht="19.5" customHeight="1" x14ac:dyDescent="0.25">
      <c r="A87" s="33"/>
      <c r="B87" s="73"/>
      <c r="C87" s="73"/>
      <c r="D87" s="33"/>
      <c r="E87" s="33"/>
      <c r="F87" s="33"/>
      <c r="G87" s="33"/>
      <c r="H87" s="38"/>
      <c r="I87" s="38"/>
      <c r="J87" s="38">
        <v>1</v>
      </c>
      <c r="K87" s="38">
        <v>1</v>
      </c>
      <c r="L87" s="38">
        <v>51</v>
      </c>
      <c r="M87" s="103">
        <v>-1</v>
      </c>
      <c r="N87" s="38">
        <f t="shared" si="23"/>
        <v>-13.048868010700071</v>
      </c>
      <c r="O87" s="38">
        <f t="shared" si="27"/>
        <v>7.992999999999995</v>
      </c>
      <c r="P87" s="38">
        <f t="shared" si="20"/>
        <v>17.880340999999991</v>
      </c>
      <c r="Q87" s="38">
        <f t="shared" si="33"/>
        <v>7.992999999999995</v>
      </c>
      <c r="R87" s="93">
        <f t="shared" si="28"/>
        <v>471.87399999999997</v>
      </c>
      <c r="S87" s="93">
        <v>6.89</v>
      </c>
      <c r="T87" s="97">
        <f t="shared" si="25"/>
        <v>0.95886880032556299</v>
      </c>
      <c r="U87" s="93">
        <f t="shared" si="29"/>
        <v>26.061865043446872</v>
      </c>
      <c r="V87" s="93">
        <f t="shared" si="37"/>
        <v>6.89</v>
      </c>
      <c r="W87" s="38">
        <f t="shared" si="34"/>
        <v>-725</v>
      </c>
      <c r="X87" s="38">
        <f t="shared" si="35"/>
        <v>22.268690583341971</v>
      </c>
      <c r="Y87" s="38">
        <f t="shared" si="30"/>
        <v>568.98</v>
      </c>
      <c r="Z87" s="38">
        <f t="shared" si="31"/>
        <v>853.21088766614412</v>
      </c>
      <c r="AA87" s="38">
        <f t="shared" si="32"/>
        <v>719.45957824948619</v>
      </c>
      <c r="AB87" s="38">
        <f t="shared" si="36"/>
        <v>5750.6404089481393</v>
      </c>
      <c r="AC87" s="38">
        <f t="shared" si="26"/>
        <v>141449.35959105185</v>
      </c>
      <c r="AD87" s="71"/>
      <c r="AE87" s="33"/>
      <c r="AF87" s="33"/>
      <c r="AG87" s="33"/>
      <c r="AH87" s="33"/>
      <c r="AI87" s="33"/>
      <c r="AJ87" s="33"/>
    </row>
    <row r="88" spans="1:36" ht="18" x14ac:dyDescent="0.25">
      <c r="A88" s="33"/>
      <c r="B88" s="73"/>
      <c r="C88" s="73"/>
      <c r="D88" s="33"/>
      <c r="E88" s="33"/>
      <c r="F88" s="33"/>
      <c r="G88" s="33"/>
      <c r="H88" s="96"/>
      <c r="I88" s="38"/>
      <c r="J88" s="38">
        <v>1</v>
      </c>
      <c r="K88" s="38">
        <v>1</v>
      </c>
      <c r="L88" s="98">
        <v>52</v>
      </c>
      <c r="M88" s="103">
        <v>-0.87</v>
      </c>
      <c r="N88" s="38">
        <f t="shared" si="23"/>
        <v>-11.352515169309061</v>
      </c>
      <c r="O88" s="38">
        <f t="shared" si="27"/>
        <v>7.1229999999999949</v>
      </c>
      <c r="P88" s="38">
        <f t="shared" si="20"/>
        <v>15.934150999999989</v>
      </c>
      <c r="Q88" s="38">
        <f t="shared" si="33"/>
        <v>7.1229999999999949</v>
      </c>
      <c r="R88" s="100">
        <f t="shared" si="28"/>
        <v>478.99699999999996</v>
      </c>
      <c r="S88" s="93">
        <v>-1.99</v>
      </c>
      <c r="T88" s="97">
        <f t="shared" si="25"/>
        <v>-0.24734667052844519</v>
      </c>
      <c r="U88" s="100">
        <f t="shared" si="29"/>
        <v>25.814518372918428</v>
      </c>
      <c r="V88" s="93">
        <f t="shared" si="37"/>
        <v>-1.9899999999999998</v>
      </c>
      <c r="W88" s="38">
        <f t="shared" si="34"/>
        <v>-630.75</v>
      </c>
      <c r="X88" s="38">
        <f t="shared" si="35"/>
        <v>17.684832209981973</v>
      </c>
      <c r="Y88" s="38">
        <f t="shared" si="30"/>
        <v>568.98</v>
      </c>
      <c r="Z88" s="38">
        <f t="shared" si="31"/>
        <v>-246.97337603059606</v>
      </c>
      <c r="AA88" s="38">
        <f t="shared" si="32"/>
        <v>-291.05854382061403</v>
      </c>
      <c r="AB88" s="38">
        <f t="shared" si="36"/>
        <v>-2073.2100076342322</v>
      </c>
      <c r="AC88" s="38">
        <f t="shared" si="26"/>
        <v>149273.21000763425</v>
      </c>
      <c r="AD88" s="71"/>
      <c r="AE88" s="33"/>
      <c r="AF88" s="33"/>
      <c r="AG88" s="33"/>
      <c r="AH88" s="33"/>
      <c r="AI88" s="33"/>
      <c r="AJ88" s="33"/>
    </row>
    <row r="89" spans="1:36" ht="18" x14ac:dyDescent="0.25">
      <c r="A89" s="33"/>
      <c r="B89" s="73"/>
      <c r="C89" s="73"/>
      <c r="D89" s="33"/>
      <c r="E89" s="33"/>
      <c r="F89" s="33"/>
      <c r="G89" s="33"/>
      <c r="H89" s="38"/>
      <c r="I89" s="38"/>
      <c r="J89" s="38">
        <v>1</v>
      </c>
      <c r="K89" s="38">
        <v>1</v>
      </c>
      <c r="L89" s="38">
        <v>53</v>
      </c>
      <c r="M89" s="103">
        <v>0.5</v>
      </c>
      <c r="N89" s="38">
        <f t="shared" si="23"/>
        <v>6.5244340053500354</v>
      </c>
      <c r="O89" s="38">
        <f t="shared" si="27"/>
        <v>7.6229999999999949</v>
      </c>
      <c r="P89" s="38">
        <f t="shared" si="20"/>
        <v>17.05265099999999</v>
      </c>
      <c r="Q89" s="38">
        <f t="shared" si="33"/>
        <v>7.6229999999999949</v>
      </c>
      <c r="R89" s="93">
        <f t="shared" si="28"/>
        <v>486.61999999999995</v>
      </c>
      <c r="S89" s="93">
        <v>-1.99</v>
      </c>
      <c r="T89" s="97">
        <f t="shared" si="25"/>
        <v>-0.26470920531213504</v>
      </c>
      <c r="U89" s="93">
        <f t="shared" si="29"/>
        <v>25.549809167606295</v>
      </c>
      <c r="V89" s="93">
        <f t="shared" si="37"/>
        <v>-1.9899999999999998</v>
      </c>
      <c r="W89" s="38">
        <f t="shared" si="34"/>
        <v>362.5</v>
      </c>
      <c r="X89" s="38">
        <f t="shared" si="35"/>
        <v>20.254750343981971</v>
      </c>
      <c r="Y89" s="38">
        <f t="shared" si="30"/>
        <v>568.98</v>
      </c>
      <c r="Z89" s="38">
        <f t="shared" si="31"/>
        <v>-246.97337603059606</v>
      </c>
      <c r="AA89" s="38">
        <f t="shared" si="32"/>
        <v>704.76137431338589</v>
      </c>
      <c r="AB89" s="38">
        <f t="shared" si="36"/>
        <v>5372.3959563909366</v>
      </c>
      <c r="AC89" s="38">
        <f t="shared" si="26"/>
        <v>141827.60404360906</v>
      </c>
      <c r="AD89" s="71"/>
      <c r="AE89" s="33"/>
      <c r="AF89" s="33"/>
      <c r="AG89" s="33"/>
      <c r="AH89" s="33"/>
      <c r="AI89" s="33"/>
      <c r="AJ89" s="33"/>
    </row>
    <row r="90" spans="1:36" ht="18" x14ac:dyDescent="0.25">
      <c r="A90" s="33"/>
      <c r="B90" s="73"/>
      <c r="C90" s="73"/>
      <c r="D90" s="33"/>
      <c r="E90" s="33"/>
      <c r="F90" s="33"/>
      <c r="G90" s="33"/>
      <c r="H90" s="38"/>
      <c r="I90" s="38"/>
      <c r="J90" s="38">
        <v>1</v>
      </c>
      <c r="K90" s="38">
        <v>1</v>
      </c>
      <c r="L90" s="38">
        <v>54</v>
      </c>
      <c r="M90" s="103">
        <v>0.7</v>
      </c>
      <c r="N90" s="38">
        <f t="shared" si="23"/>
        <v>9.1342076074900493</v>
      </c>
      <c r="O90" s="38">
        <f t="shared" si="27"/>
        <v>8.3229999999999951</v>
      </c>
      <c r="P90" s="38">
        <f t="shared" si="20"/>
        <v>18.618550999999989</v>
      </c>
      <c r="Q90" s="38">
        <f t="shared" si="33"/>
        <v>8.3229999999999951</v>
      </c>
      <c r="R90" s="93">
        <f t="shared" si="28"/>
        <v>494.94299999999993</v>
      </c>
      <c r="S90" s="93">
        <v>-1.99</v>
      </c>
      <c r="T90" s="97">
        <f t="shared" si="25"/>
        <v>-0.28901675400930082</v>
      </c>
      <c r="U90" s="93">
        <f t="shared" si="29"/>
        <v>25.260792413596995</v>
      </c>
      <c r="V90" s="93">
        <f t="shared" si="37"/>
        <v>-1.9899999999999998</v>
      </c>
      <c r="W90" s="38">
        <f t="shared" si="34"/>
        <v>507.49999999999994</v>
      </c>
      <c r="X90" s="38">
        <f t="shared" si="35"/>
        <v>24.14542445158197</v>
      </c>
      <c r="Y90" s="38">
        <f t="shared" si="30"/>
        <v>568.98</v>
      </c>
      <c r="Z90" s="38">
        <f t="shared" si="31"/>
        <v>-246.97337603059606</v>
      </c>
      <c r="AA90" s="38">
        <f t="shared" si="32"/>
        <v>853.65204842098592</v>
      </c>
      <c r="AB90" s="38">
        <f t="shared" si="36"/>
        <v>7104.9459990078612</v>
      </c>
      <c r="AC90" s="38">
        <f t="shared" si="26"/>
        <v>140095.05400099215</v>
      </c>
      <c r="AD90" s="71"/>
      <c r="AE90" s="33"/>
      <c r="AF90" s="33"/>
      <c r="AG90" s="33"/>
      <c r="AH90" s="33"/>
      <c r="AI90" s="33"/>
      <c r="AJ90" s="33"/>
    </row>
    <row r="91" spans="1:36" ht="18" x14ac:dyDescent="0.25">
      <c r="A91" s="33"/>
      <c r="B91" s="73"/>
      <c r="C91" s="73"/>
      <c r="D91" s="33"/>
      <c r="E91" s="33"/>
      <c r="F91" s="33"/>
      <c r="G91" s="33"/>
      <c r="H91" s="96"/>
      <c r="I91" s="38"/>
      <c r="J91" s="38">
        <v>1</v>
      </c>
      <c r="K91" s="38">
        <v>1</v>
      </c>
      <c r="L91" s="98">
        <v>55</v>
      </c>
      <c r="M91" s="103">
        <v>0.73</v>
      </c>
      <c r="N91" s="38">
        <f t="shared" si="23"/>
        <v>9.5256736478110522</v>
      </c>
      <c r="O91" s="38">
        <f t="shared" si="27"/>
        <v>9.0529999999999955</v>
      </c>
      <c r="P91" s="38">
        <f t="shared" si="20"/>
        <v>20.251560999999992</v>
      </c>
      <c r="Q91" s="38">
        <f t="shared" si="33"/>
        <v>9.0529999999999955</v>
      </c>
      <c r="R91" s="100">
        <f t="shared" si="28"/>
        <v>503.99599999999992</v>
      </c>
      <c r="S91" s="93">
        <v>-5.51</v>
      </c>
      <c r="T91" s="97">
        <f>Q91*(SIN(RADIANS(S91)))</f>
        <v>-0.86926435669274671</v>
      </c>
      <c r="U91" s="100">
        <f t="shared" si="29"/>
        <v>24.391528056904249</v>
      </c>
      <c r="V91" s="93">
        <f t="shared" si="37"/>
        <v>-5.51</v>
      </c>
      <c r="W91" s="38">
        <f t="shared" si="34"/>
        <v>529.25</v>
      </c>
      <c r="X91" s="38">
        <f t="shared" si="35"/>
        <v>28.566701431421972</v>
      </c>
      <c r="Y91" s="38">
        <f t="shared" si="30"/>
        <v>568.98</v>
      </c>
      <c r="Z91" s="38">
        <f t="shared" si="31"/>
        <v>-682.91454997105836</v>
      </c>
      <c r="AA91" s="38">
        <f t="shared" si="32"/>
        <v>443.88215146036362</v>
      </c>
      <c r="AB91" s="38">
        <f t="shared" si="36"/>
        <v>4018.4651171706696</v>
      </c>
      <c r="AC91" s="38">
        <f t="shared" si="26"/>
        <v>143181.53488282932</v>
      </c>
      <c r="AD91" s="71"/>
      <c r="AE91" s="33"/>
      <c r="AF91" s="33"/>
      <c r="AG91" s="33"/>
      <c r="AH91" s="33"/>
      <c r="AI91" s="33"/>
      <c r="AJ91" s="33"/>
    </row>
    <row r="92" spans="1:36" ht="18" x14ac:dyDescent="0.25">
      <c r="A92" s="33"/>
      <c r="B92" s="73"/>
      <c r="C92" s="73"/>
      <c r="D92" s="33"/>
      <c r="E92" s="33"/>
      <c r="F92" s="33"/>
      <c r="G92" s="33"/>
      <c r="H92" s="38"/>
      <c r="I92" s="38"/>
      <c r="J92" s="38">
        <v>1</v>
      </c>
      <c r="K92" s="38">
        <v>1</v>
      </c>
      <c r="L92" s="38">
        <v>56</v>
      </c>
      <c r="M92" s="103">
        <v>6.95</v>
      </c>
      <c r="N92" s="38">
        <f t="shared" si="23"/>
        <v>90.689632674365512</v>
      </c>
      <c r="O92" s="38">
        <f t="shared" si="27"/>
        <v>16.002999999999997</v>
      </c>
      <c r="P92" s="38">
        <f t="shared" si="20"/>
        <v>35.798710999999997</v>
      </c>
      <c r="Q92" s="38">
        <f t="shared" si="33"/>
        <v>16.002999999999997</v>
      </c>
      <c r="R92" s="93">
        <f t="shared" si="28"/>
        <v>519.99899999999991</v>
      </c>
      <c r="S92" s="93">
        <v>-5.51</v>
      </c>
      <c r="T92" s="97">
        <f t="shared" si="25"/>
        <v>-1.5365997459575864</v>
      </c>
      <c r="U92" s="93">
        <f t="shared" si="29"/>
        <v>22.854928310946661</v>
      </c>
      <c r="V92" s="93">
        <f t="shared" si="37"/>
        <v>-5.51</v>
      </c>
      <c r="W92" s="38">
        <f t="shared" si="34"/>
        <v>5038.75</v>
      </c>
      <c r="X92" s="38">
        <f t="shared" si="35"/>
        <v>89.26431270502195</v>
      </c>
      <c r="Y92" s="38">
        <f t="shared" si="30"/>
        <v>568.98</v>
      </c>
      <c r="Z92" s="38">
        <f t="shared" si="31"/>
        <v>-682.91454997105836</v>
      </c>
      <c r="AA92" s="38">
        <f t="shared" si="32"/>
        <v>5014.0797627339634</v>
      </c>
      <c r="AB92" s="38">
        <f t="shared" si="36"/>
        <v>80240.318443031603</v>
      </c>
      <c r="AC92" s="38">
        <f t="shared" si="26"/>
        <v>66959.681556968397</v>
      </c>
      <c r="AD92" s="71"/>
      <c r="AE92" s="33"/>
      <c r="AF92" s="33"/>
      <c r="AG92" s="33"/>
      <c r="AH92" s="33"/>
      <c r="AI92" s="33"/>
      <c r="AJ92" s="33"/>
    </row>
    <row r="93" spans="1:36" ht="18" x14ac:dyDescent="0.25">
      <c r="A93" s="33"/>
      <c r="B93" s="73"/>
      <c r="C93" s="73"/>
      <c r="D93" s="33"/>
      <c r="E93" s="33"/>
      <c r="F93" s="33"/>
      <c r="G93" s="33"/>
      <c r="H93" s="96"/>
      <c r="I93" s="38"/>
      <c r="J93" s="38">
        <v>1</v>
      </c>
      <c r="K93" s="38">
        <v>1</v>
      </c>
      <c r="L93" s="98">
        <v>57</v>
      </c>
      <c r="M93" s="103">
        <v>8</v>
      </c>
      <c r="N93" s="38">
        <f t="shared" si="23"/>
        <v>104.39094408560057</v>
      </c>
      <c r="O93" s="38">
        <f t="shared" si="27"/>
        <v>24.002999999999997</v>
      </c>
      <c r="P93" s="38">
        <f t="shared" si="20"/>
        <v>53.694710999999998</v>
      </c>
      <c r="Q93" s="38">
        <f t="shared" si="33"/>
        <v>24.002999999999997</v>
      </c>
      <c r="R93" s="100">
        <f t="shared" si="28"/>
        <v>544.00199999999995</v>
      </c>
      <c r="S93" s="93">
        <v>-7.61</v>
      </c>
      <c r="T93" s="97">
        <f t="shared" si="25"/>
        <v>-3.1787025999145446</v>
      </c>
      <c r="U93" s="100">
        <f t="shared" si="29"/>
        <v>19.676225711032117</v>
      </c>
      <c r="V93" s="93">
        <f t="shared" si="37"/>
        <v>-7.6099999999999985</v>
      </c>
      <c r="W93" s="38">
        <f t="shared" si="34"/>
        <v>5800</v>
      </c>
      <c r="X93" s="38">
        <f t="shared" si="35"/>
        <v>200.81960348902194</v>
      </c>
      <c r="Y93" s="38">
        <f t="shared" si="30"/>
        <v>568.98</v>
      </c>
      <c r="Z93" s="38">
        <f t="shared" si="31"/>
        <v>-941.87091472908469</v>
      </c>
      <c r="AA93" s="38">
        <f t="shared" si="32"/>
        <v>5627.9286887599374</v>
      </c>
      <c r="AB93" s="38">
        <f t="shared" si="36"/>
        <v>135087.17231630476</v>
      </c>
      <c r="AC93" s="38">
        <f t="shared" si="26"/>
        <v>12112.827683695243</v>
      </c>
      <c r="AD93" s="71"/>
      <c r="AE93" s="33"/>
      <c r="AF93" s="33"/>
      <c r="AG93" s="33"/>
      <c r="AH93" s="33"/>
      <c r="AI93" s="33"/>
      <c r="AJ93" s="33"/>
    </row>
    <row r="94" spans="1:36" ht="18" x14ac:dyDescent="0.25">
      <c r="A94" s="33"/>
      <c r="B94" s="73"/>
      <c r="C94" s="73"/>
      <c r="D94" s="33"/>
      <c r="E94" s="33"/>
      <c r="F94" s="33"/>
      <c r="G94" s="33"/>
      <c r="H94" s="38"/>
      <c r="I94" s="38"/>
      <c r="J94" s="38">
        <v>1</v>
      </c>
      <c r="K94" s="38">
        <v>1</v>
      </c>
      <c r="L94" s="98">
        <v>58</v>
      </c>
      <c r="M94" s="103">
        <v>-4.01</v>
      </c>
      <c r="N94" s="38">
        <f t="shared" si="23"/>
        <v>-52.325960722907283</v>
      </c>
      <c r="O94" s="38">
        <f t="shared" si="27"/>
        <v>19.992999999999995</v>
      </c>
      <c r="P94" s="38">
        <f t="shared" si="20"/>
        <v>44.724340999999988</v>
      </c>
      <c r="Q94" s="38">
        <f t="shared" si="33"/>
        <v>19.992999999999995</v>
      </c>
      <c r="R94" s="100">
        <f t="shared" si="28"/>
        <v>563.99499999999989</v>
      </c>
      <c r="S94" s="93">
        <v>-8.0500000000000007</v>
      </c>
      <c r="T94" s="97">
        <f t="shared" si="25"/>
        <v>-2.7997641348824294</v>
      </c>
      <c r="U94" s="100">
        <f t="shared" si="29"/>
        <v>16.876461576149687</v>
      </c>
      <c r="V94" s="93">
        <f t="shared" si="37"/>
        <v>-8.0500000000000007</v>
      </c>
      <c r="W94" s="38">
        <f t="shared" si="34"/>
        <v>-2907.25</v>
      </c>
      <c r="X94" s="38">
        <f t="shared" si="35"/>
        <v>139.32562083934192</v>
      </c>
      <c r="Y94" s="38">
        <v>0</v>
      </c>
      <c r="Z94" s="38">
        <f t="shared" si="31"/>
        <v>-995.97971631658891</v>
      </c>
      <c r="AA94" s="38">
        <f t="shared" si="32"/>
        <v>-3763.9040954772472</v>
      </c>
      <c r="AB94" s="38">
        <f t="shared" si="36"/>
        <v>-75251.734580876582</v>
      </c>
      <c r="AC94" s="38">
        <f t="shared" si="26"/>
        <v>222451.7345808766</v>
      </c>
      <c r="AD94" s="71"/>
      <c r="AE94" s="33"/>
      <c r="AF94" s="33"/>
      <c r="AG94" s="33"/>
      <c r="AH94" s="33"/>
      <c r="AI94" s="33"/>
      <c r="AJ94" s="33"/>
    </row>
    <row r="95" spans="1:36" ht="18" x14ac:dyDescent="0.25">
      <c r="A95" s="33"/>
      <c r="B95" s="73"/>
      <c r="C95" s="73"/>
      <c r="D95" s="33"/>
      <c r="E95" s="33"/>
      <c r="F95" s="33"/>
      <c r="G95" s="33"/>
      <c r="H95" s="96"/>
      <c r="I95" s="38"/>
      <c r="J95" s="38">
        <v>1</v>
      </c>
      <c r="K95" s="38">
        <v>1</v>
      </c>
      <c r="L95" s="98">
        <v>59</v>
      </c>
      <c r="M95" s="103">
        <v>-9.99</v>
      </c>
      <c r="N95" s="38">
        <f t="shared" si="23"/>
        <v>-130.35819142689371</v>
      </c>
      <c r="O95" s="38">
        <f t="shared" si="27"/>
        <v>10.002999999999995</v>
      </c>
      <c r="P95" s="38">
        <f t="shared" si="20"/>
        <v>22.37671099999999</v>
      </c>
      <c r="Q95" s="38">
        <f t="shared" si="33"/>
        <v>10.002999999999995</v>
      </c>
      <c r="R95" s="100">
        <f t="shared" si="28"/>
        <v>573.99799999999993</v>
      </c>
      <c r="S95" s="93">
        <v>-8.0500000000000007</v>
      </c>
      <c r="T95" s="97">
        <f t="shared" si="25"/>
        <v>-1.4007923093697261</v>
      </c>
      <c r="U95" s="100">
        <f>U94+T95</f>
        <v>15.475669266779962</v>
      </c>
      <c r="V95" s="93">
        <f t="shared" si="37"/>
        <v>-8.0500000000000007</v>
      </c>
      <c r="W95" s="38">
        <f t="shared" si="34"/>
        <v>-7242.75</v>
      </c>
      <c r="X95" s="38">
        <f t="shared" si="35"/>
        <v>34.876716617021962</v>
      </c>
      <c r="Y95" s="38">
        <f t="shared" si="30"/>
        <v>568.98</v>
      </c>
      <c r="Z95" s="38">
        <f t="shared" si="31"/>
        <v>-995.97971631658891</v>
      </c>
      <c r="AA95" s="38">
        <f t="shared" si="32"/>
        <v>-7634.8729996995671</v>
      </c>
      <c r="AB95" s="38">
        <f t="shared" si="36"/>
        <v>-76371.634615994728</v>
      </c>
      <c r="AC95" s="38">
        <f t="shared" si="26"/>
        <v>223571.63461599473</v>
      </c>
      <c r="AD95" s="71"/>
      <c r="AE95" s="33"/>
      <c r="AF95" s="33"/>
      <c r="AG95" s="33"/>
      <c r="AH95" s="33"/>
      <c r="AI95" s="33"/>
      <c r="AJ95" s="33"/>
    </row>
    <row r="96" spans="1:36" ht="18" x14ac:dyDescent="0.25">
      <c r="A96" s="33"/>
      <c r="B96" s="73"/>
      <c r="C96" s="73"/>
      <c r="D96" s="33"/>
      <c r="E96" s="33"/>
      <c r="F96" s="33"/>
      <c r="G96" s="33"/>
      <c r="H96" s="38"/>
      <c r="I96" s="38"/>
      <c r="J96" s="38">
        <v>1</v>
      </c>
      <c r="K96" s="38">
        <v>1</v>
      </c>
      <c r="L96" s="38">
        <v>60</v>
      </c>
      <c r="M96" s="103">
        <v>3.4849999999999999</v>
      </c>
      <c r="N96" s="38">
        <f t="shared" si="23"/>
        <v>45.475305017289749</v>
      </c>
      <c r="O96" s="38">
        <f t="shared" si="27"/>
        <v>13.487999999999994</v>
      </c>
      <c r="P96" s="38">
        <f t="shared" si="20"/>
        <v>30.172655999999989</v>
      </c>
      <c r="Q96" s="38">
        <f t="shared" si="33"/>
        <v>13.487999999999994</v>
      </c>
      <c r="R96" s="93">
        <f t="shared" si="28"/>
        <v>587.48599999999988</v>
      </c>
      <c r="S96" s="93">
        <v>-8.0500000000000007</v>
      </c>
      <c r="T96" s="97">
        <f t="shared" si="25"/>
        <v>-1.8888220202718051</v>
      </c>
      <c r="U96" s="93">
        <f t="shared" si="29"/>
        <v>13.586847246508157</v>
      </c>
      <c r="V96" s="93">
        <f t="shared" si="37"/>
        <v>-8.0500000000000007</v>
      </c>
      <c r="W96" s="38">
        <f t="shared" si="34"/>
        <v>2526.625</v>
      </c>
      <c r="X96" s="38">
        <f t="shared" si="35"/>
        <v>63.411812900351947</v>
      </c>
      <c r="Y96" s="38">
        <f t="shared" si="30"/>
        <v>568.98</v>
      </c>
      <c r="Z96" s="38">
        <f t="shared" si="31"/>
        <v>-995.97971631658891</v>
      </c>
      <c r="AA96" s="38">
        <f t="shared" si="32"/>
        <v>2163.0370965837628</v>
      </c>
      <c r="AB96" s="38">
        <f t="shared" si="36"/>
        <v>29175.044358721781</v>
      </c>
      <c r="AC96" s="38">
        <f t="shared" si="26"/>
        <v>118024.95564127821</v>
      </c>
      <c r="AD96" s="71"/>
      <c r="AE96" s="33"/>
      <c r="AF96" s="33"/>
      <c r="AG96" s="33"/>
      <c r="AH96" s="33"/>
      <c r="AI96" s="33"/>
      <c r="AJ96" s="33"/>
    </row>
    <row r="97" spans="1:36" ht="18" x14ac:dyDescent="0.25">
      <c r="A97" s="33"/>
      <c r="B97" s="73"/>
      <c r="C97" s="73"/>
      <c r="D97" s="33"/>
      <c r="E97" s="33"/>
      <c r="F97" s="33"/>
      <c r="G97" s="33"/>
      <c r="H97" s="96"/>
      <c r="I97" s="38"/>
      <c r="J97" s="38">
        <v>1</v>
      </c>
      <c r="K97" s="38">
        <v>1</v>
      </c>
      <c r="L97" s="98">
        <v>61</v>
      </c>
      <c r="M97" s="103">
        <v>-0.97</v>
      </c>
      <c r="N97" s="38">
        <f t="shared" si="23"/>
        <v>-12.65740197037907</v>
      </c>
      <c r="O97" s="38">
        <f t="shared" si="27"/>
        <v>12.517999999999994</v>
      </c>
      <c r="P97" s="38">
        <f t="shared" si="20"/>
        <v>28.002765999999987</v>
      </c>
      <c r="Q97" s="38">
        <f t="shared" si="33"/>
        <v>12.517999999999994</v>
      </c>
      <c r="R97" s="100">
        <f>Q97+R96</f>
        <v>600.00399999999991</v>
      </c>
      <c r="S97" s="93">
        <v>-7.07</v>
      </c>
      <c r="T97" s="97">
        <f t="shared" si="25"/>
        <v>-1.5407389241879403</v>
      </c>
      <c r="U97" s="100">
        <f t="shared" si="29"/>
        <v>12.046108322320217</v>
      </c>
      <c r="V97" s="93">
        <f t="shared" si="37"/>
        <v>-7.0699999999999994</v>
      </c>
      <c r="W97" s="38">
        <f t="shared" si="34"/>
        <v>-703.25</v>
      </c>
      <c r="X97" s="38">
        <f t="shared" si="35"/>
        <v>54.619151532791946</v>
      </c>
      <c r="Y97" s="38">
        <f t="shared" si="30"/>
        <v>568.98</v>
      </c>
      <c r="Z97" s="38">
        <f t="shared" si="31"/>
        <v>-875.38907281959439</v>
      </c>
      <c r="AA97" s="38">
        <f t="shared" si="32"/>
        <v>-955.03992128680238</v>
      </c>
      <c r="AB97" s="38">
        <f t="shared" si="36"/>
        <v>-11955.189734668185</v>
      </c>
      <c r="AC97" s="38">
        <f t="shared" si="26"/>
        <v>159155.18973466818</v>
      </c>
      <c r="AD97" s="71"/>
      <c r="AE97" s="33"/>
      <c r="AF97" s="33"/>
      <c r="AG97" s="33"/>
      <c r="AH97" s="33"/>
      <c r="AI97" s="33"/>
      <c r="AJ97" s="33"/>
    </row>
    <row r="98" spans="1:36" ht="18" x14ac:dyDescent="0.25">
      <c r="A98" s="33"/>
      <c r="B98" s="73"/>
      <c r="C98" s="73"/>
      <c r="D98" s="33"/>
      <c r="E98" s="33"/>
      <c r="F98" s="33"/>
      <c r="G98" s="33"/>
      <c r="H98" s="38"/>
      <c r="I98" s="38"/>
      <c r="J98" s="38">
        <v>1</v>
      </c>
      <c r="K98" s="38">
        <v>1</v>
      </c>
      <c r="L98" s="38">
        <v>62</v>
      </c>
      <c r="M98" s="103">
        <v>1</v>
      </c>
      <c r="N98" s="38">
        <f t="shared" si="23"/>
        <v>13.048868010700071</v>
      </c>
      <c r="O98" s="38">
        <f t="shared" si="27"/>
        <v>13.517999999999994</v>
      </c>
      <c r="P98" s="38">
        <f t="shared" si="20"/>
        <v>30.239765999999985</v>
      </c>
      <c r="Q98" s="38">
        <f t="shared" si="33"/>
        <v>13.517999999999994</v>
      </c>
      <c r="R98" s="93">
        <f t="shared" si="28"/>
        <v>613.52199999999993</v>
      </c>
      <c r="S98" s="93">
        <v>-7.07</v>
      </c>
      <c r="T98" s="97">
        <f t="shared" si="25"/>
        <v>-1.6638208002214874</v>
      </c>
      <c r="U98" s="93">
        <f t="shared" si="29"/>
        <v>10.38228752209873</v>
      </c>
      <c r="V98" s="93">
        <f t="shared" si="37"/>
        <v>-7.07</v>
      </c>
      <c r="W98" s="38">
        <f t="shared" si="34"/>
        <v>725</v>
      </c>
      <c r="X98" s="38">
        <f t="shared" si="35"/>
        <v>63.694207620791936</v>
      </c>
      <c r="Y98" s="38">
        <f t="shared" si="30"/>
        <v>568.98</v>
      </c>
      <c r="Z98" s="38">
        <f t="shared" si="31"/>
        <v>-875.38907281959462</v>
      </c>
      <c r="AA98" s="38">
        <f t="shared" si="32"/>
        <v>482.28513480119739</v>
      </c>
      <c r="AB98" s="38">
        <f t="shared" si="36"/>
        <v>6519.5304522425831</v>
      </c>
      <c r="AC98" s="38">
        <f t="shared" si="26"/>
        <v>140680.46954775741</v>
      </c>
      <c r="AD98" s="71"/>
      <c r="AE98" s="33"/>
      <c r="AF98" s="33"/>
      <c r="AG98" s="33"/>
      <c r="AH98" s="33"/>
      <c r="AI98" s="33"/>
      <c r="AJ98" s="33"/>
    </row>
    <row r="99" spans="1:36" ht="18" x14ac:dyDescent="0.25">
      <c r="A99" s="33"/>
      <c r="B99" s="73"/>
      <c r="C99" s="73"/>
      <c r="D99" s="33"/>
      <c r="E99" s="33"/>
      <c r="F99" s="33"/>
      <c r="G99" s="33"/>
      <c r="H99" s="38"/>
      <c r="I99" s="38"/>
      <c r="J99" s="38">
        <v>1</v>
      </c>
      <c r="K99" s="38">
        <v>1</v>
      </c>
      <c r="L99" s="98">
        <v>63</v>
      </c>
      <c r="M99" s="103">
        <v>0.96</v>
      </c>
      <c r="N99" s="38">
        <f t="shared" si="23"/>
        <v>12.526913290272068</v>
      </c>
      <c r="O99" s="38">
        <f t="shared" si="27"/>
        <v>14.477999999999994</v>
      </c>
      <c r="P99" s="38">
        <f t="shared" si="20"/>
        <v>32.387285999999989</v>
      </c>
      <c r="Q99" s="38">
        <f t="shared" si="33"/>
        <v>14.477999999999994</v>
      </c>
      <c r="R99" s="100">
        <f t="shared" si="28"/>
        <v>627.99999999999989</v>
      </c>
      <c r="S99" s="93">
        <v>-3.07</v>
      </c>
      <c r="T99" s="97">
        <f>Q99*(SIN(RADIANS(S99)))</f>
        <v>-0.77538337735004925</v>
      </c>
      <c r="U99" s="100">
        <f t="shared" si="29"/>
        <v>9.6069041447486807</v>
      </c>
      <c r="V99" s="93">
        <f t="shared" si="37"/>
        <v>-3.07</v>
      </c>
      <c r="W99" s="38">
        <f t="shared" si="34"/>
        <v>696</v>
      </c>
      <c r="X99" s="38">
        <f t="shared" si="35"/>
        <v>73.06210819807194</v>
      </c>
      <c r="Y99" s="38">
        <f t="shared" si="30"/>
        <v>568.98</v>
      </c>
      <c r="Z99" s="38">
        <f t="shared" si="31"/>
        <v>-380.90346909503313</v>
      </c>
      <c r="AA99" s="38">
        <f t="shared" si="32"/>
        <v>957.13863910303871</v>
      </c>
      <c r="AB99" s="38">
        <f t="shared" si="36"/>
        <v>13857.453216933789</v>
      </c>
      <c r="AC99" s="38">
        <f t="shared" si="26"/>
        <v>133342.54678306621</v>
      </c>
      <c r="AD99" s="71"/>
      <c r="AE99" s="33"/>
      <c r="AF99" s="33"/>
      <c r="AG99" s="33"/>
      <c r="AH99" s="33"/>
      <c r="AI99" s="33"/>
      <c r="AJ99" s="33"/>
    </row>
    <row r="100" spans="1:36" ht="18" x14ac:dyDescent="0.25">
      <c r="A100" s="33"/>
      <c r="B100" s="73"/>
      <c r="C100" s="73"/>
      <c r="D100" s="33"/>
      <c r="E100" s="33"/>
      <c r="F100" s="33"/>
      <c r="G100" s="33"/>
      <c r="H100" s="38"/>
      <c r="I100" s="38"/>
      <c r="J100" s="38">
        <v>1</v>
      </c>
      <c r="K100" s="38">
        <v>1</v>
      </c>
      <c r="L100" s="38">
        <v>64</v>
      </c>
      <c r="M100" s="103">
        <v>1</v>
      </c>
      <c r="N100" s="38">
        <f t="shared" si="23"/>
        <v>13.048868010700071</v>
      </c>
      <c r="O100" s="38">
        <f t="shared" si="27"/>
        <v>15.477999999999994</v>
      </c>
      <c r="P100" s="38">
        <f t="shared" si="20"/>
        <v>34.624285999999991</v>
      </c>
      <c r="Q100" s="38">
        <f t="shared" si="33"/>
        <v>15.477999999999994</v>
      </c>
      <c r="R100" s="93">
        <f t="shared" si="28"/>
        <v>643.47799999999984</v>
      </c>
      <c r="S100" s="93">
        <v>-3.07</v>
      </c>
      <c r="T100" s="97">
        <f t="shared" si="25"/>
        <v>-0.8289393503677347</v>
      </c>
      <c r="U100" s="93">
        <f t="shared" si="29"/>
        <v>8.7779647943809458</v>
      </c>
      <c r="V100" s="93">
        <f t="shared" si="37"/>
        <v>-3.07</v>
      </c>
      <c r="W100" s="38">
        <f t="shared" si="34"/>
        <v>725</v>
      </c>
      <c r="X100" s="38">
        <f t="shared" si="35"/>
        <v>83.503511646071942</v>
      </c>
      <c r="Y100" s="38">
        <f t="shared" si="30"/>
        <v>568.98</v>
      </c>
      <c r="Z100" s="38">
        <f t="shared" si="31"/>
        <v>-380.90346909503313</v>
      </c>
      <c r="AA100" s="38">
        <f t="shared" si="32"/>
        <v>996.58004255103879</v>
      </c>
      <c r="AB100" s="38">
        <f t="shared" ref="AB100:AB104" si="38">AA100*O100</f>
        <v>15425.065898604973</v>
      </c>
      <c r="AC100" s="38">
        <f t="shared" si="26"/>
        <v>131774.93410139502</v>
      </c>
      <c r="AD100" s="71"/>
      <c r="AE100" s="33"/>
      <c r="AF100" s="33"/>
      <c r="AG100" s="33"/>
      <c r="AH100" s="33"/>
      <c r="AI100" s="33"/>
      <c r="AJ100" s="33"/>
    </row>
    <row r="101" spans="1:36" ht="18" x14ac:dyDescent="0.25">
      <c r="A101" s="33"/>
      <c r="B101" s="73"/>
      <c r="C101" s="73"/>
      <c r="D101" s="33"/>
      <c r="E101" s="33"/>
      <c r="F101" s="33"/>
      <c r="G101" s="33"/>
      <c r="H101" s="38"/>
      <c r="I101" s="38"/>
      <c r="J101" s="38">
        <v>1</v>
      </c>
      <c r="K101" s="38">
        <v>1</v>
      </c>
      <c r="L101" s="38">
        <v>65</v>
      </c>
      <c r="M101" s="103">
        <v>1.2</v>
      </c>
      <c r="N101" s="38">
        <f t="shared" si="23"/>
        <v>15.658641612840086</v>
      </c>
      <c r="O101" s="38">
        <f t="shared" si="27"/>
        <v>16.677999999999994</v>
      </c>
      <c r="P101" s="38">
        <f t="shared" ref="P101:P104" si="39">O101*2.237</f>
        <v>37.308685999999987</v>
      </c>
      <c r="Q101" s="38">
        <f t="shared" si="33"/>
        <v>16.677999999999994</v>
      </c>
      <c r="R101" s="93">
        <f t="shared" si="28"/>
        <v>660.15599999999984</v>
      </c>
      <c r="S101" s="93">
        <v>-3.07</v>
      </c>
      <c r="T101" s="97">
        <f t="shared" si="25"/>
        <v>-0.89320651798895712</v>
      </c>
      <c r="U101" s="93">
        <f t="shared" si="29"/>
        <v>7.884758276391989</v>
      </c>
      <c r="V101" s="93">
        <f t="shared" si="37"/>
        <v>-3.07</v>
      </c>
      <c r="W101" s="38">
        <f t="shared" si="34"/>
        <v>870</v>
      </c>
      <c r="X101" s="38">
        <f t="shared" si="35"/>
        <v>96.953388903671922</v>
      </c>
      <c r="Y101" s="38">
        <f t="shared" si="30"/>
        <v>568.98</v>
      </c>
      <c r="Z101" s="38">
        <f t="shared" si="31"/>
        <v>-380.90346909503313</v>
      </c>
      <c r="AA101" s="38">
        <f t="shared" si="32"/>
        <v>1155.0299198086389</v>
      </c>
      <c r="AB101" s="38">
        <f t="shared" si="38"/>
        <v>19263.589002568471</v>
      </c>
      <c r="AC101" s="38">
        <f t="shared" si="26"/>
        <v>127936.41099743152</v>
      </c>
      <c r="AD101" s="71"/>
      <c r="AE101" s="33"/>
      <c r="AF101" s="33"/>
      <c r="AG101" s="33"/>
      <c r="AH101" s="33"/>
      <c r="AI101" s="33"/>
      <c r="AJ101" s="33"/>
    </row>
    <row r="102" spans="1:36" ht="18" x14ac:dyDescent="0.25">
      <c r="A102" s="33"/>
      <c r="B102" s="73"/>
      <c r="C102" s="73"/>
      <c r="D102" s="33"/>
      <c r="E102" s="33"/>
      <c r="F102" s="33"/>
      <c r="G102" s="33"/>
      <c r="H102" s="38"/>
      <c r="I102" s="38"/>
      <c r="J102" s="38">
        <v>1</v>
      </c>
      <c r="K102" s="38">
        <v>1</v>
      </c>
      <c r="L102" s="38">
        <v>66</v>
      </c>
      <c r="M102" s="103">
        <v>1.4</v>
      </c>
      <c r="N102" s="38">
        <f t="shared" ref="N102:N104" si="40">(M102/7.6635)*100</f>
        <v>18.268415214980099</v>
      </c>
      <c r="O102" s="38">
        <f t="shared" si="27"/>
        <v>18.077999999999992</v>
      </c>
      <c r="P102" s="38">
        <f t="shared" si="39"/>
        <v>40.440485999999986</v>
      </c>
      <c r="Q102" s="38">
        <f t="shared" si="33"/>
        <v>18.077999999999992</v>
      </c>
      <c r="R102" s="93">
        <f t="shared" si="28"/>
        <v>678.23399999999981</v>
      </c>
      <c r="S102" s="93">
        <v>-3.07</v>
      </c>
      <c r="T102" s="97">
        <f t="shared" ref="T102:T104" si="41">Q102*(SIN(RADIANS(S102)))</f>
        <v>-0.96818488021371663</v>
      </c>
      <c r="U102" s="93">
        <f t="shared" si="29"/>
        <v>6.916573396178272</v>
      </c>
      <c r="V102" s="93">
        <f t="shared" si="37"/>
        <v>-3.07</v>
      </c>
      <c r="W102" s="38">
        <f t="shared" si="34"/>
        <v>1014.9999999999999</v>
      </c>
      <c r="X102" s="38">
        <f t="shared" si="35"/>
        <v>113.91366349087188</v>
      </c>
      <c r="Y102" s="38">
        <f t="shared" si="30"/>
        <v>568.98</v>
      </c>
      <c r="Z102" s="38">
        <f t="shared" si="31"/>
        <v>-380.90346909503313</v>
      </c>
      <c r="AA102" s="38">
        <f t="shared" si="32"/>
        <v>1316.9901943958387</v>
      </c>
      <c r="AB102" s="38">
        <f t="shared" si="38"/>
        <v>23808.548734287961</v>
      </c>
      <c r="AC102" s="38">
        <f t="shared" ref="AC102:AC104" si="42">147200-AB102</f>
        <v>123391.45126571204</v>
      </c>
      <c r="AD102" s="71"/>
      <c r="AE102" s="33"/>
      <c r="AF102" s="33"/>
      <c r="AG102" s="33"/>
      <c r="AH102" s="33"/>
      <c r="AI102" s="33"/>
      <c r="AJ102" s="33"/>
    </row>
    <row r="103" spans="1:36" ht="18" x14ac:dyDescent="0.25">
      <c r="A103" s="33"/>
      <c r="B103" s="73"/>
      <c r="C103" s="73"/>
      <c r="D103" s="33"/>
      <c r="E103" s="33"/>
      <c r="F103" s="33"/>
      <c r="G103" s="33"/>
      <c r="H103" s="38"/>
      <c r="I103" s="38"/>
      <c r="J103" s="38">
        <v>1</v>
      </c>
      <c r="K103" s="38">
        <v>1</v>
      </c>
      <c r="L103" s="38">
        <v>67</v>
      </c>
      <c r="M103" s="103">
        <v>1.6</v>
      </c>
      <c r="N103" s="38">
        <f t="shared" si="40"/>
        <v>20.878188817120115</v>
      </c>
      <c r="O103" s="38">
        <f t="shared" ref="O103:O104" si="43">(K103*M103)+O102</f>
        <v>19.677999999999994</v>
      </c>
      <c r="P103" s="38">
        <f t="shared" si="39"/>
        <v>44.019685999999986</v>
      </c>
      <c r="Q103" s="38">
        <f t="shared" si="33"/>
        <v>19.677999999999994</v>
      </c>
      <c r="R103" s="93">
        <f t="shared" si="28"/>
        <v>697.91199999999981</v>
      </c>
      <c r="S103" s="93">
        <v>-3.07</v>
      </c>
      <c r="T103" s="97">
        <f t="shared" si="41"/>
        <v>-1.0538744370420134</v>
      </c>
      <c r="U103" s="93">
        <f t="shared" si="29"/>
        <v>5.8626989591362584</v>
      </c>
      <c r="V103" s="93">
        <f t="shared" si="37"/>
        <v>-3.07</v>
      </c>
      <c r="W103" s="38">
        <f t="shared" si="34"/>
        <v>1160</v>
      </c>
      <c r="X103" s="38">
        <f t="shared" si="35"/>
        <v>134.96991284767191</v>
      </c>
      <c r="Y103" s="38">
        <f t="shared" si="30"/>
        <v>568.98</v>
      </c>
      <c r="Z103" s="38">
        <f t="shared" si="31"/>
        <v>-380.90346909503313</v>
      </c>
      <c r="AA103" s="38">
        <f t="shared" si="32"/>
        <v>1483.0464437526389</v>
      </c>
      <c r="AB103" s="38">
        <f t="shared" si="38"/>
        <v>29183.387920164419</v>
      </c>
      <c r="AC103" s="38">
        <f t="shared" si="42"/>
        <v>118016.61207983558</v>
      </c>
      <c r="AD103" s="71"/>
      <c r="AE103" s="33"/>
      <c r="AF103" s="33"/>
      <c r="AG103" s="33"/>
      <c r="AH103" s="33"/>
      <c r="AI103" s="33"/>
      <c r="AJ103" s="33"/>
    </row>
    <row r="104" spans="1:36" ht="18" x14ac:dyDescent="0.25">
      <c r="A104" s="33"/>
      <c r="B104" s="73"/>
      <c r="C104" s="73"/>
      <c r="D104" s="33"/>
      <c r="E104" s="33"/>
      <c r="F104" s="33"/>
      <c r="G104" s="33"/>
      <c r="H104" s="38" t="s">
        <v>51</v>
      </c>
      <c r="I104" s="38"/>
      <c r="J104" s="38">
        <v>1</v>
      </c>
      <c r="K104" s="38">
        <v>1</v>
      </c>
      <c r="L104" s="98">
        <v>68</v>
      </c>
      <c r="M104" s="103">
        <v>1.8</v>
      </c>
      <c r="N104" s="38">
        <f t="shared" si="40"/>
        <v>23.487962419260132</v>
      </c>
      <c r="O104" s="38">
        <f t="shared" si="43"/>
        <v>21.477999999999994</v>
      </c>
      <c r="P104" s="38">
        <f t="shared" si="39"/>
        <v>48.046285999999988</v>
      </c>
      <c r="Q104" s="38">
        <f t="shared" si="33"/>
        <v>21.477999999999994</v>
      </c>
      <c r="R104" s="100">
        <f t="shared" si="28"/>
        <v>719.38999999999976</v>
      </c>
      <c r="S104" s="93">
        <v>5.7</v>
      </c>
      <c r="T104" s="97">
        <f t="shared" si="41"/>
        <v>2.133189584993878</v>
      </c>
      <c r="U104" s="100">
        <f t="shared" ref="U104" si="44">U103+T104</f>
        <v>7.9958885441301364</v>
      </c>
      <c r="V104" s="93">
        <f t="shared" si="37"/>
        <v>5.7</v>
      </c>
      <c r="W104" s="38">
        <f t="shared" si="34"/>
        <v>1305</v>
      </c>
      <c r="X104" s="38">
        <f t="shared" si="35"/>
        <v>160.7913683340719</v>
      </c>
      <c r="Y104" s="38">
        <f t="shared" si="30"/>
        <v>568.98</v>
      </c>
      <c r="Z104" s="38">
        <f t="shared" si="31"/>
        <v>706.3868901141966</v>
      </c>
      <c r="AA104" s="38">
        <f t="shared" si="32"/>
        <v>2741.1582584482685</v>
      </c>
      <c r="AB104" s="38">
        <f t="shared" si="38"/>
        <v>58874.597074951897</v>
      </c>
      <c r="AC104" s="38">
        <f t="shared" si="42"/>
        <v>88325.402925048111</v>
      </c>
      <c r="AD104" s="71"/>
      <c r="AE104" s="33"/>
      <c r="AF104" s="33"/>
      <c r="AG104" s="33"/>
      <c r="AH104" s="33"/>
      <c r="AI104" s="33"/>
      <c r="AJ104" s="33"/>
    </row>
    <row r="105" spans="1:36" ht="18" x14ac:dyDescent="0.25">
      <c r="A105" s="33"/>
      <c r="B105" s="73"/>
      <c r="C105" s="73"/>
      <c r="D105" s="33"/>
      <c r="E105" s="33"/>
      <c r="F105" s="33"/>
      <c r="G105" s="33"/>
      <c r="H105" s="33"/>
      <c r="I105" s="33"/>
      <c r="J105" s="69"/>
      <c r="K105" s="69"/>
      <c r="L105" s="69"/>
      <c r="M105" s="69"/>
      <c r="N105" s="69"/>
      <c r="O105" s="69"/>
      <c r="P105" s="69"/>
      <c r="Q105" s="69"/>
      <c r="R105" s="101"/>
      <c r="S105" s="69"/>
      <c r="T105" s="69"/>
      <c r="U105" s="69"/>
      <c r="V105" s="69"/>
      <c r="W105" s="69"/>
      <c r="X105" s="69"/>
      <c r="Y105" s="69"/>
      <c r="Z105" s="69"/>
      <c r="AA105" s="69"/>
      <c r="AB105" s="69"/>
      <c r="AC105" s="34"/>
      <c r="AD105" s="33"/>
      <c r="AE105" s="33"/>
      <c r="AF105" s="33"/>
      <c r="AG105" s="33"/>
      <c r="AH105" s="33"/>
      <c r="AI105" s="33"/>
      <c r="AJ105" s="33"/>
    </row>
    <row r="106" spans="1:36" ht="18" x14ac:dyDescent="0.25">
      <c r="A106" s="33"/>
      <c r="B106" s="73"/>
      <c r="C106" s="73"/>
      <c r="D106" s="33"/>
      <c r="E106" s="33"/>
      <c r="F106" s="33"/>
      <c r="G106" s="33"/>
      <c r="H106" s="33"/>
      <c r="I106" s="33"/>
      <c r="J106" s="69"/>
      <c r="K106" s="69"/>
      <c r="L106" s="69"/>
      <c r="M106" s="69"/>
      <c r="N106" s="69"/>
      <c r="O106" s="69"/>
      <c r="P106" s="69"/>
      <c r="Q106" s="69"/>
      <c r="R106" s="96" t="s">
        <v>187</v>
      </c>
      <c r="S106" s="69"/>
      <c r="T106" s="69"/>
      <c r="U106" s="96">
        <v>8</v>
      </c>
      <c r="V106" s="69"/>
      <c r="W106" s="69"/>
      <c r="X106" s="69"/>
      <c r="Y106" s="69"/>
      <c r="Z106" s="69"/>
      <c r="AA106" s="69"/>
      <c r="AB106" s="69"/>
      <c r="AC106" s="34"/>
      <c r="AD106" s="33"/>
      <c r="AE106" s="33"/>
      <c r="AF106" s="33"/>
      <c r="AG106" s="33"/>
      <c r="AH106" s="33"/>
      <c r="AI106" s="33"/>
      <c r="AJ106" s="33"/>
    </row>
    <row r="107" spans="1:36" ht="18" x14ac:dyDescent="0.25">
      <c r="A107" s="33"/>
      <c r="B107" s="73"/>
      <c r="C107" s="73"/>
      <c r="D107" s="33"/>
      <c r="E107" s="33"/>
      <c r="F107" s="33"/>
      <c r="G107" s="33"/>
      <c r="H107" s="33"/>
      <c r="I107" s="33"/>
      <c r="J107" s="69"/>
      <c r="K107" s="69"/>
      <c r="L107" s="69"/>
      <c r="M107" s="69"/>
      <c r="N107" s="69"/>
      <c r="O107" s="69"/>
      <c r="P107" s="69"/>
      <c r="Q107" s="69"/>
      <c r="R107" s="33"/>
      <c r="S107" s="69"/>
      <c r="T107" s="33"/>
      <c r="U107" s="69"/>
      <c r="V107" s="69"/>
      <c r="W107" s="69"/>
      <c r="X107" s="69"/>
      <c r="Y107" s="69"/>
      <c r="Z107" s="69"/>
      <c r="AA107" s="69"/>
      <c r="AB107" s="69"/>
      <c r="AC107" s="34"/>
      <c r="AD107" s="33"/>
      <c r="AE107" s="33"/>
      <c r="AF107" s="33"/>
      <c r="AG107" s="33"/>
      <c r="AH107" s="33"/>
      <c r="AI107" s="33"/>
      <c r="AJ107" s="33"/>
    </row>
    <row r="108" spans="1:36" ht="18" x14ac:dyDescent="0.25">
      <c r="A108" s="33"/>
      <c r="B108" s="73"/>
      <c r="C108" s="73"/>
      <c r="D108" s="33"/>
      <c r="E108" s="33"/>
      <c r="F108" s="33"/>
      <c r="G108" s="33"/>
      <c r="H108" s="33"/>
      <c r="I108" s="33"/>
      <c r="J108" s="69"/>
      <c r="K108" s="69"/>
      <c r="L108" s="69"/>
      <c r="M108" s="69"/>
      <c r="N108" s="69"/>
      <c r="O108" s="69"/>
      <c r="P108" s="69"/>
      <c r="Q108" s="69"/>
      <c r="R108" s="101"/>
      <c r="S108" s="69"/>
      <c r="T108" s="69"/>
      <c r="U108" s="69"/>
      <c r="V108" s="69"/>
      <c r="W108" s="69"/>
      <c r="X108" s="69"/>
      <c r="Y108" s="69"/>
      <c r="Z108" s="69"/>
      <c r="AA108" s="69"/>
      <c r="AB108" s="69"/>
      <c r="AC108" s="34"/>
      <c r="AD108" s="33"/>
      <c r="AE108" s="33"/>
      <c r="AF108" s="33"/>
      <c r="AG108" s="33"/>
      <c r="AH108" s="33"/>
      <c r="AI108" s="33"/>
      <c r="AJ108" s="33"/>
    </row>
    <row r="109" spans="1:36" ht="18" x14ac:dyDescent="0.25">
      <c r="A109" s="33"/>
      <c r="B109" s="73"/>
      <c r="C109" s="73"/>
      <c r="D109" s="33"/>
      <c r="E109" s="33"/>
      <c r="F109" s="33"/>
      <c r="G109" s="33"/>
      <c r="H109" s="33"/>
      <c r="I109" s="33"/>
      <c r="J109" s="69"/>
      <c r="K109" s="69"/>
      <c r="L109" s="69"/>
      <c r="M109" s="69"/>
      <c r="N109" s="69"/>
      <c r="O109" s="69"/>
      <c r="P109" s="69"/>
      <c r="Q109" s="69"/>
      <c r="R109" s="101"/>
      <c r="S109" s="69"/>
      <c r="T109" s="69"/>
      <c r="U109" s="69"/>
      <c r="V109" s="69"/>
      <c r="W109" s="69"/>
      <c r="X109" s="69"/>
      <c r="Y109" s="69"/>
      <c r="Z109" s="69"/>
      <c r="AA109" s="69"/>
      <c r="AB109" s="69"/>
      <c r="AC109" s="34"/>
      <c r="AD109" s="33"/>
      <c r="AE109" s="33"/>
      <c r="AF109" s="33"/>
      <c r="AG109" s="33"/>
      <c r="AH109" s="33"/>
      <c r="AI109" s="33"/>
      <c r="AJ109" s="33"/>
    </row>
    <row r="110" spans="1:36" ht="18" x14ac:dyDescent="0.25">
      <c r="A110" s="33"/>
      <c r="B110" s="73"/>
      <c r="C110" s="73"/>
      <c r="D110" s="33"/>
      <c r="E110" s="33"/>
      <c r="F110" s="33"/>
      <c r="G110" s="33"/>
      <c r="H110" s="33"/>
      <c r="I110" s="33"/>
      <c r="J110" s="69"/>
      <c r="K110" s="69"/>
      <c r="L110" s="69"/>
      <c r="M110" s="69"/>
      <c r="N110" s="69"/>
      <c r="O110" s="69"/>
      <c r="P110" s="69"/>
      <c r="Q110" s="69"/>
      <c r="R110" s="101"/>
      <c r="S110" s="69"/>
      <c r="T110" s="69"/>
      <c r="U110" s="69"/>
      <c r="V110" s="69"/>
      <c r="W110" s="69"/>
      <c r="X110" s="69"/>
      <c r="Y110" s="69"/>
      <c r="Z110" s="69"/>
      <c r="AA110" s="69"/>
      <c r="AB110" s="69"/>
      <c r="AC110" s="34"/>
      <c r="AD110" s="33"/>
      <c r="AE110" s="33"/>
      <c r="AF110" s="33"/>
      <c r="AG110" s="33"/>
      <c r="AH110" s="33"/>
      <c r="AI110" s="33"/>
      <c r="AJ110" s="33"/>
    </row>
    <row r="111" spans="1:36" ht="18" x14ac:dyDescent="0.25">
      <c r="A111" s="33"/>
      <c r="B111" s="73"/>
      <c r="C111" s="73"/>
      <c r="D111" s="33"/>
      <c r="E111" s="33"/>
      <c r="F111" s="33"/>
      <c r="G111" s="33"/>
      <c r="H111" s="33"/>
      <c r="I111" s="33"/>
      <c r="J111" s="69"/>
      <c r="K111" s="69"/>
      <c r="L111" s="69"/>
      <c r="M111" s="69"/>
      <c r="N111" s="69"/>
      <c r="O111" s="69"/>
      <c r="P111" s="69"/>
      <c r="Q111" s="69"/>
      <c r="R111" s="101"/>
      <c r="S111" s="69"/>
      <c r="T111" s="69"/>
      <c r="U111" s="69"/>
      <c r="V111" s="69"/>
      <c r="W111" s="69"/>
      <c r="X111" s="69"/>
      <c r="Y111" s="69"/>
      <c r="Z111" s="69"/>
      <c r="AA111" s="69"/>
      <c r="AB111" s="69"/>
      <c r="AC111" s="34"/>
      <c r="AD111" s="33"/>
      <c r="AE111" s="33"/>
      <c r="AF111" s="33"/>
      <c r="AG111" s="33"/>
      <c r="AH111" s="33"/>
      <c r="AI111" s="33"/>
      <c r="AJ111" s="33"/>
    </row>
    <row r="112" spans="1:36" ht="18" x14ac:dyDescent="0.25">
      <c r="A112" s="33"/>
      <c r="B112" s="73"/>
      <c r="C112" s="73"/>
      <c r="D112" s="33"/>
      <c r="E112" s="33"/>
      <c r="F112" s="33"/>
      <c r="G112" s="33"/>
      <c r="H112" s="33"/>
      <c r="I112" s="33"/>
      <c r="J112" s="69"/>
      <c r="K112" s="69"/>
      <c r="L112" s="69"/>
      <c r="M112" s="69"/>
      <c r="N112" s="69"/>
      <c r="O112" s="69"/>
      <c r="P112" s="69"/>
      <c r="Q112" s="69"/>
      <c r="R112" s="101"/>
      <c r="S112" s="69"/>
      <c r="T112" s="69"/>
      <c r="U112" s="69"/>
      <c r="V112" s="69"/>
      <c r="W112" s="69"/>
      <c r="X112" s="69"/>
      <c r="Y112" s="69"/>
      <c r="Z112" s="69"/>
      <c r="AA112" s="69"/>
      <c r="AB112" s="69"/>
      <c r="AC112" s="34"/>
      <c r="AD112" s="33"/>
      <c r="AE112" s="33"/>
      <c r="AF112" s="33"/>
      <c r="AG112" s="33"/>
      <c r="AH112" s="33"/>
      <c r="AI112" s="33"/>
      <c r="AJ112" s="33"/>
    </row>
    <row r="113" spans="1:36" ht="18" x14ac:dyDescent="0.25">
      <c r="A113" s="33"/>
      <c r="B113" s="73"/>
      <c r="C113" s="73"/>
      <c r="D113" s="33"/>
      <c r="E113" s="33"/>
      <c r="F113" s="33"/>
      <c r="G113" s="33"/>
      <c r="H113" s="33"/>
      <c r="I113" s="33"/>
      <c r="J113" s="69"/>
      <c r="K113" s="69"/>
      <c r="L113" s="69"/>
      <c r="M113" s="69"/>
      <c r="N113" s="69"/>
      <c r="O113" s="69"/>
      <c r="P113" s="69"/>
      <c r="Q113" s="69"/>
      <c r="R113" s="101"/>
      <c r="S113" s="69"/>
      <c r="T113" s="69"/>
      <c r="U113" s="69"/>
      <c r="V113" s="69"/>
      <c r="W113" s="69"/>
      <c r="X113" s="69"/>
      <c r="Y113" s="69"/>
      <c r="Z113" s="69"/>
      <c r="AA113" s="69"/>
      <c r="AB113" s="69"/>
      <c r="AC113" s="34"/>
      <c r="AD113" s="33"/>
      <c r="AE113" s="33"/>
      <c r="AF113" s="33"/>
      <c r="AG113" s="33"/>
      <c r="AH113" s="33"/>
      <c r="AI113" s="33"/>
      <c r="AJ113" s="33"/>
    </row>
    <row r="114" spans="1:36" ht="18" x14ac:dyDescent="0.25">
      <c r="A114" s="33"/>
      <c r="B114" s="73"/>
      <c r="C114" s="73"/>
      <c r="D114" s="33"/>
      <c r="E114" s="33"/>
      <c r="F114" s="33"/>
      <c r="G114" s="33"/>
      <c r="H114" s="33"/>
      <c r="I114" s="33"/>
      <c r="J114" s="69"/>
      <c r="K114" s="69"/>
      <c r="L114" s="69"/>
      <c r="M114" s="69"/>
      <c r="N114" s="69"/>
      <c r="O114" s="69"/>
      <c r="P114" s="69"/>
      <c r="Q114" s="69"/>
      <c r="R114" s="101"/>
      <c r="S114" s="69"/>
      <c r="T114" s="69"/>
      <c r="U114" s="69"/>
      <c r="V114" s="69"/>
      <c r="W114" s="69"/>
      <c r="X114" s="69"/>
      <c r="Y114" s="69"/>
      <c r="Z114" s="69"/>
      <c r="AA114" s="69"/>
      <c r="AB114" s="69"/>
      <c r="AC114" s="34"/>
      <c r="AD114" s="33"/>
      <c r="AE114" s="33"/>
      <c r="AF114" s="33"/>
      <c r="AG114" s="33"/>
      <c r="AH114" s="33"/>
      <c r="AI114" s="33"/>
      <c r="AJ114" s="33"/>
    </row>
    <row r="115" spans="1:36" x14ac:dyDescent="0.2">
      <c r="A115" s="33"/>
      <c r="B115" s="73"/>
      <c r="C115" s="73"/>
      <c r="D115" s="33"/>
      <c r="E115" s="33"/>
      <c r="F115" s="33"/>
      <c r="G115" s="33"/>
      <c r="H115" s="33"/>
      <c r="I115" s="33"/>
      <c r="J115" s="34"/>
      <c r="K115" s="34"/>
      <c r="L115" s="34"/>
      <c r="M115" s="34"/>
      <c r="N115" s="34"/>
      <c r="O115" s="34"/>
      <c r="P115" s="34"/>
      <c r="Q115" s="34"/>
      <c r="R115" s="34"/>
      <c r="S115" s="34"/>
      <c r="T115" s="34"/>
      <c r="U115" s="34"/>
      <c r="V115" s="34"/>
      <c r="W115" s="34"/>
      <c r="X115" s="34"/>
      <c r="Y115" s="34"/>
      <c r="Z115" s="34"/>
      <c r="AA115" s="34"/>
      <c r="AB115" s="34"/>
      <c r="AC115" s="34"/>
      <c r="AD115" s="33"/>
      <c r="AE115" s="33"/>
      <c r="AF115" s="33"/>
      <c r="AG115" s="33"/>
      <c r="AH115" s="33"/>
      <c r="AI115" s="33"/>
      <c r="AJ115" s="33"/>
    </row>
    <row r="116" spans="1:36" x14ac:dyDescent="0.2">
      <c r="A116" s="33"/>
      <c r="B116" s="73"/>
      <c r="C116" s="73"/>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c r="AJ116" s="33"/>
    </row>
    <row r="117" spans="1:36" x14ac:dyDescent="0.2">
      <c r="A117" s="33"/>
      <c r="B117" s="73"/>
      <c r="C117" s="73"/>
      <c r="D117" s="33"/>
      <c r="E117" s="33" t="s">
        <v>124</v>
      </c>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row>
    <row r="118" spans="1:36" x14ac:dyDescent="0.2">
      <c r="A118" s="33"/>
      <c r="B118" s="73"/>
      <c r="C118" s="7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c r="AJ118" s="33"/>
    </row>
    <row r="119" spans="1:36" x14ac:dyDescent="0.2">
      <c r="A119" s="33"/>
      <c r="B119" s="73"/>
      <c r="C119" s="73"/>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I119" s="33"/>
      <c r="AJ119" s="33"/>
    </row>
    <row r="120" spans="1:36" x14ac:dyDescent="0.2">
      <c r="A120" s="33"/>
      <c r="B120" s="73"/>
      <c r="C120" s="7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c r="AJ120" s="33"/>
    </row>
    <row r="121" spans="1:36" x14ac:dyDescent="0.2">
      <c r="A121" s="33"/>
      <c r="B121" s="73"/>
      <c r="C121" s="73"/>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c r="AC121" s="33"/>
      <c r="AD121" s="33"/>
      <c r="AE121" s="33"/>
      <c r="AF121" s="33"/>
      <c r="AG121" s="33"/>
      <c r="AH121" s="33"/>
      <c r="AI121" s="33"/>
      <c r="AJ121" s="33"/>
    </row>
    <row r="122" spans="1:36" x14ac:dyDescent="0.2">
      <c r="A122" s="33"/>
      <c r="B122" s="73"/>
      <c r="C122" s="73"/>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I122" s="33"/>
      <c r="AJ122" s="33"/>
    </row>
    <row r="123" spans="1:36" x14ac:dyDescent="0.2">
      <c r="A123" s="33"/>
      <c r="B123" s="73"/>
      <c r="C123" s="73"/>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c r="AJ123" s="33"/>
    </row>
    <row r="124" spans="1:36" x14ac:dyDescent="0.2">
      <c r="A124" s="33"/>
      <c r="B124" s="73"/>
      <c r="C124" s="73"/>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c r="AJ124" s="33"/>
    </row>
    <row r="125" spans="1:36" x14ac:dyDescent="0.2">
      <c r="A125" s="33"/>
      <c r="B125" s="73"/>
      <c r="C125" s="73"/>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33"/>
      <c r="AJ125" s="33"/>
    </row>
    <row r="126" spans="1:36" x14ac:dyDescent="0.2">
      <c r="A126" s="33"/>
      <c r="B126" s="73"/>
      <c r="C126" s="7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c r="AJ126" s="33"/>
    </row>
    <row r="127" spans="1:36" x14ac:dyDescent="0.2">
      <c r="A127" s="33"/>
      <c r="B127" s="73"/>
      <c r="C127" s="73"/>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c r="AJ127" s="33"/>
    </row>
    <row r="128" spans="1:36" x14ac:dyDescent="0.2">
      <c r="A128" s="33"/>
      <c r="B128" s="73"/>
      <c r="C128" s="73"/>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c r="AJ128" s="33"/>
    </row>
    <row r="129" spans="1:36" x14ac:dyDescent="0.2">
      <c r="A129" s="33"/>
      <c r="B129" s="73"/>
      <c r="C129" s="73"/>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G129" s="33"/>
      <c r="AH129" s="33"/>
      <c r="AI129" s="33"/>
      <c r="AJ129" s="33"/>
    </row>
    <row r="130" spans="1:36" x14ac:dyDescent="0.2">
      <c r="A130" s="33"/>
      <c r="B130" s="73"/>
      <c r="C130" s="73"/>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I130" s="33"/>
      <c r="AJ130" s="33"/>
    </row>
    <row r="131" spans="1:36" x14ac:dyDescent="0.2">
      <c r="A131" s="33"/>
      <c r="B131" s="73"/>
      <c r="C131" s="73"/>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I131" s="33"/>
      <c r="AJ131" s="33"/>
    </row>
    <row r="132" spans="1:36" x14ac:dyDescent="0.2">
      <c r="A132" s="33"/>
      <c r="B132" s="73"/>
      <c r="C132" s="73"/>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33"/>
      <c r="AJ132" s="33"/>
    </row>
    <row r="133" spans="1:36" x14ac:dyDescent="0.2">
      <c r="A133" s="33"/>
      <c r="B133" s="73"/>
      <c r="C133" s="73"/>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33"/>
      <c r="AJ133" s="33"/>
    </row>
    <row r="134" spans="1:36" x14ac:dyDescent="0.2">
      <c r="A134" s="33"/>
      <c r="B134" s="73"/>
      <c r="C134" s="7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33"/>
      <c r="AJ134" s="33"/>
    </row>
    <row r="135" spans="1:36" x14ac:dyDescent="0.2">
      <c r="A135" s="33"/>
      <c r="B135" s="73"/>
      <c r="C135" s="7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c r="AJ135" s="33"/>
    </row>
    <row r="136" spans="1:36" x14ac:dyDescent="0.2">
      <c r="A136" s="33"/>
      <c r="B136" s="73"/>
      <c r="C136" s="7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c r="AJ136" s="33"/>
    </row>
    <row r="137" spans="1:36" x14ac:dyDescent="0.2">
      <c r="A137" s="33"/>
      <c r="B137" s="73"/>
      <c r="C137" s="73"/>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33"/>
      <c r="AJ137" s="33"/>
    </row>
    <row r="138" spans="1:36" x14ac:dyDescent="0.2">
      <c r="A138" s="33"/>
      <c r="B138" s="73"/>
      <c r="C138" s="73"/>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c r="AJ138" s="33"/>
    </row>
    <row r="139" spans="1:36" x14ac:dyDescent="0.2">
      <c r="A139" s="33"/>
      <c r="B139" s="73"/>
      <c r="C139" s="73"/>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33"/>
      <c r="AJ139" s="33"/>
    </row>
    <row r="140" spans="1:36" x14ac:dyDescent="0.2">
      <c r="A140" s="33"/>
      <c r="B140" s="73"/>
      <c r="C140" s="73"/>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c r="AJ140" s="33"/>
    </row>
    <row r="141" spans="1:36" x14ac:dyDescent="0.2">
      <c r="A141" s="33"/>
      <c r="B141" s="73"/>
      <c r="C141" s="73"/>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33"/>
      <c r="AG141" s="33"/>
      <c r="AH141" s="33"/>
      <c r="AI141" s="33"/>
      <c r="AJ141" s="33"/>
    </row>
    <row r="142" spans="1:36" x14ac:dyDescent="0.2">
      <c r="A142" s="33"/>
      <c r="B142" s="73"/>
      <c r="C142" s="73"/>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c r="AJ142" s="33"/>
    </row>
    <row r="143" spans="1:36" x14ac:dyDescent="0.2">
      <c r="A143" s="33"/>
      <c r="B143" s="73"/>
      <c r="C143" s="73"/>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c r="AG143" s="33"/>
      <c r="AH143" s="33"/>
      <c r="AI143" s="33"/>
      <c r="AJ143" s="33"/>
    </row>
    <row r="144" spans="1:36" x14ac:dyDescent="0.2">
      <c r="A144" s="33"/>
      <c r="B144" s="73"/>
      <c r="C144" s="73"/>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33"/>
      <c r="AJ144" s="33"/>
    </row>
    <row r="145" spans="1:36" x14ac:dyDescent="0.2">
      <c r="A145" s="33"/>
      <c r="B145" s="73"/>
      <c r="C145" s="73"/>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33"/>
      <c r="AJ145" s="33"/>
    </row>
    <row r="146" spans="1:36" x14ac:dyDescent="0.2">
      <c r="A146" s="33"/>
      <c r="B146" s="73"/>
      <c r="C146" s="73"/>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c r="AJ146" s="33"/>
    </row>
    <row r="147" spans="1:36" x14ac:dyDescent="0.2">
      <c r="A147" s="33"/>
      <c r="B147" s="73"/>
      <c r="C147" s="73"/>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c r="AJ147" s="33"/>
    </row>
    <row r="148" spans="1:36" x14ac:dyDescent="0.2">
      <c r="A148" s="33"/>
      <c r="B148" s="73"/>
      <c r="C148" s="73"/>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c r="AG148" s="33"/>
      <c r="AH148" s="33"/>
      <c r="AI148" s="33"/>
      <c r="AJ148" s="33"/>
    </row>
    <row r="149" spans="1:36" x14ac:dyDescent="0.2">
      <c r="A149" s="33"/>
      <c r="B149" s="73"/>
      <c r="C149" s="7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c r="AJ149" s="33"/>
    </row>
    <row r="150" spans="1:36" x14ac:dyDescent="0.2">
      <c r="A150" s="33"/>
      <c r="B150" s="73"/>
      <c r="C150" s="73"/>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33"/>
      <c r="AI150" s="33"/>
      <c r="AJ150" s="33"/>
    </row>
    <row r="151" spans="1:36" x14ac:dyDescent="0.2">
      <c r="A151" s="33"/>
      <c r="B151" s="73"/>
      <c r="C151" s="73"/>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c r="AJ151" s="33"/>
    </row>
    <row r="152" spans="1:36" x14ac:dyDescent="0.2">
      <c r="A152" s="33"/>
      <c r="B152" s="73"/>
      <c r="C152" s="73"/>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c r="AJ152" s="33"/>
    </row>
    <row r="153" spans="1:36" x14ac:dyDescent="0.2">
      <c r="A153" s="33"/>
      <c r="B153" s="73"/>
      <c r="C153" s="73"/>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c r="AJ153" s="33"/>
    </row>
    <row r="154" spans="1:36" x14ac:dyDescent="0.2">
      <c r="A154" s="33"/>
      <c r="B154" s="73"/>
      <c r="C154" s="73"/>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c r="AG154" s="33"/>
      <c r="AH154" s="33"/>
      <c r="AI154" s="33"/>
      <c r="AJ154" s="33"/>
    </row>
    <row r="155" spans="1:36" x14ac:dyDescent="0.2">
      <c r="A155" s="33"/>
      <c r="B155" s="73"/>
      <c r="C155" s="73"/>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c r="AG155" s="33"/>
      <c r="AH155" s="33"/>
      <c r="AI155" s="33"/>
      <c r="AJ155" s="33"/>
    </row>
    <row r="156" spans="1:36" x14ac:dyDescent="0.2">
      <c r="A156" s="33"/>
      <c r="B156" s="73"/>
      <c r="C156" s="73"/>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c r="AJ156" s="33"/>
    </row>
    <row r="157" spans="1:36" x14ac:dyDescent="0.2">
      <c r="A157" s="33"/>
      <c r="B157" s="73"/>
      <c r="C157" s="73"/>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c r="AG157" s="33"/>
      <c r="AH157" s="33"/>
      <c r="AI157" s="33"/>
      <c r="AJ157" s="33"/>
    </row>
    <row r="158" spans="1:36" x14ac:dyDescent="0.2">
      <c r="A158" s="33"/>
      <c r="B158" s="73"/>
      <c r="C158" s="73"/>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c r="AG158" s="33"/>
      <c r="AH158" s="33"/>
      <c r="AI158" s="33"/>
      <c r="AJ158" s="33"/>
    </row>
    <row r="159" spans="1:36" x14ac:dyDescent="0.2">
      <c r="A159" s="33"/>
      <c r="B159" s="73"/>
      <c r="C159" s="73"/>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c r="AD159" s="33"/>
      <c r="AE159" s="33"/>
      <c r="AF159" s="33"/>
      <c r="AG159" s="33"/>
      <c r="AH159" s="33"/>
      <c r="AI159" s="33"/>
      <c r="AJ159" s="33"/>
    </row>
    <row r="160" spans="1:36" x14ac:dyDescent="0.2">
      <c r="A160" s="33"/>
      <c r="B160" s="73"/>
      <c r="C160" s="73"/>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c r="AG160" s="33"/>
      <c r="AH160" s="33"/>
      <c r="AI160" s="33"/>
      <c r="AJ160" s="33"/>
    </row>
    <row r="161" spans="1:36" x14ac:dyDescent="0.2">
      <c r="A161" s="33"/>
      <c r="B161" s="73"/>
      <c r="C161" s="73"/>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c r="AG161" s="33"/>
      <c r="AH161" s="33"/>
      <c r="AI161" s="33"/>
      <c r="AJ161" s="33"/>
    </row>
    <row r="162" spans="1:36" x14ac:dyDescent="0.2">
      <c r="A162" s="33"/>
      <c r="B162" s="73"/>
      <c r="C162" s="7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c r="AJ162" s="33"/>
    </row>
    <row r="163" spans="1:36" x14ac:dyDescent="0.2">
      <c r="A163" s="33"/>
      <c r="B163" s="73"/>
      <c r="C163" s="73"/>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c r="AG163" s="33"/>
      <c r="AH163" s="33"/>
      <c r="AI163" s="33"/>
      <c r="AJ163" s="33"/>
    </row>
    <row r="164" spans="1:36" x14ac:dyDescent="0.2">
      <c r="A164" s="33"/>
      <c r="B164" s="73"/>
      <c r="C164" s="7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c r="AJ164" s="33"/>
    </row>
    <row r="165" spans="1:36" x14ac:dyDescent="0.2">
      <c r="A165" s="33"/>
      <c r="B165" s="73"/>
      <c r="C165" s="73"/>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c r="AJ165" s="33"/>
    </row>
    <row r="166" spans="1:36" x14ac:dyDescent="0.2">
      <c r="A166" s="33"/>
      <c r="B166" s="73"/>
      <c r="C166" s="73"/>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c r="AJ166" s="33"/>
    </row>
    <row r="167" spans="1:36" x14ac:dyDescent="0.2">
      <c r="A167" s="33"/>
      <c r="B167" s="73"/>
      <c r="C167" s="73"/>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3"/>
      <c r="AE167" s="33"/>
      <c r="AF167" s="33"/>
      <c r="AG167" s="33"/>
      <c r="AH167" s="33"/>
      <c r="AI167" s="33"/>
      <c r="AJ167" s="33"/>
    </row>
    <row r="168" spans="1:36" x14ac:dyDescent="0.2">
      <c r="A168" s="33"/>
      <c r="B168" s="73"/>
      <c r="C168" s="73"/>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3"/>
      <c r="AE168" s="33"/>
      <c r="AF168" s="33"/>
      <c r="AG168" s="33"/>
      <c r="AH168" s="33"/>
      <c r="AI168" s="33"/>
      <c r="AJ168" s="33"/>
    </row>
    <row r="169" spans="1:36" x14ac:dyDescent="0.2">
      <c r="A169" s="33"/>
      <c r="B169" s="73"/>
      <c r="C169" s="73"/>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c r="AJ169" s="33"/>
    </row>
    <row r="170" spans="1:36" x14ac:dyDescent="0.2">
      <c r="A170" s="33"/>
      <c r="B170" s="73"/>
      <c r="C170" s="73"/>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c r="AJ170" s="33"/>
    </row>
    <row r="171" spans="1:36" x14ac:dyDescent="0.2">
      <c r="A171" s="33"/>
      <c r="B171" s="73"/>
      <c r="C171" s="73"/>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c r="AJ171" s="33"/>
    </row>
    <row r="172" spans="1:36" x14ac:dyDescent="0.2">
      <c r="A172" s="33"/>
      <c r="B172" s="73"/>
      <c r="C172" s="73"/>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c r="AJ172" s="33"/>
    </row>
    <row r="173" spans="1:36" x14ac:dyDescent="0.2">
      <c r="A173" s="33"/>
      <c r="B173" s="73"/>
      <c r="C173" s="73"/>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c r="AD173" s="33"/>
      <c r="AE173" s="33"/>
      <c r="AF173" s="33"/>
      <c r="AG173" s="33"/>
      <c r="AH173" s="33"/>
      <c r="AI173" s="33"/>
      <c r="AJ173" s="33"/>
    </row>
    <row r="174" spans="1:36" x14ac:dyDescent="0.2">
      <c r="A174" s="33"/>
      <c r="B174" s="73"/>
      <c r="C174" s="73"/>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c r="AJ174" s="33"/>
    </row>
    <row r="175" spans="1:36" x14ac:dyDescent="0.2">
      <c r="A175" s="33"/>
      <c r="B175" s="73"/>
      <c r="C175" s="73"/>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row>
    <row r="176" spans="1:36" x14ac:dyDescent="0.2">
      <c r="A176" s="33"/>
      <c r="B176" s="73"/>
      <c r="C176" s="7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row>
    <row r="177" spans="1:36" x14ac:dyDescent="0.2">
      <c r="A177" s="33"/>
      <c r="B177" s="73"/>
      <c r="C177" s="73"/>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row>
    <row r="178" spans="1:36" x14ac:dyDescent="0.2">
      <c r="A178" s="33"/>
      <c r="B178" s="73"/>
      <c r="C178" s="7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row>
    <row r="179" spans="1:36" x14ac:dyDescent="0.2">
      <c r="A179" s="33"/>
      <c r="B179" s="73"/>
      <c r="C179" s="7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c r="AJ179" s="33"/>
    </row>
    <row r="180" spans="1:36" x14ac:dyDescent="0.2">
      <c r="A180" s="33"/>
      <c r="B180" s="73"/>
      <c r="C180" s="73"/>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c r="AG180" s="33"/>
      <c r="AH180" s="33"/>
      <c r="AI180" s="33"/>
      <c r="AJ180" s="33"/>
    </row>
    <row r="181" spans="1:36" x14ac:dyDescent="0.2">
      <c r="A181" s="33"/>
      <c r="B181" s="73"/>
      <c r="C181" s="7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row>
    <row r="182" spans="1:36" x14ac:dyDescent="0.2">
      <c r="A182" s="33"/>
      <c r="B182" s="73"/>
      <c r="C182" s="73"/>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c r="AG182" s="33"/>
      <c r="AH182" s="33"/>
      <c r="AI182" s="33"/>
      <c r="AJ182" s="33"/>
    </row>
    <row r="183" spans="1:36" x14ac:dyDescent="0.2">
      <c r="A183" s="33"/>
      <c r="B183" s="73"/>
      <c r="C183" s="73"/>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c r="AJ183" s="33"/>
    </row>
    <row r="184" spans="1:36" x14ac:dyDescent="0.2">
      <c r="A184" s="33"/>
      <c r="B184" s="73"/>
      <c r="C184" s="73"/>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c r="AG184" s="33"/>
      <c r="AH184" s="33"/>
      <c r="AI184" s="33"/>
      <c r="AJ184" s="33"/>
    </row>
    <row r="185" spans="1:36" x14ac:dyDescent="0.2">
      <c r="A185" s="33"/>
      <c r="B185" s="73"/>
      <c r="C185" s="73"/>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c r="AG185" s="33"/>
      <c r="AH185" s="33"/>
      <c r="AI185" s="33"/>
      <c r="AJ185" s="33"/>
    </row>
    <row r="186" spans="1:36" x14ac:dyDescent="0.2">
      <c r="A186" s="33"/>
      <c r="B186" s="73"/>
      <c r="C186" s="7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c r="AJ186" s="33"/>
    </row>
    <row r="187" spans="1:36" x14ac:dyDescent="0.2">
      <c r="A187" s="33"/>
      <c r="B187" s="73"/>
      <c r="C187" s="73"/>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c r="AG187" s="33"/>
      <c r="AH187" s="33"/>
      <c r="AI187" s="33"/>
      <c r="AJ187" s="33"/>
    </row>
    <row r="188" spans="1:36" x14ac:dyDescent="0.2">
      <c r="A188" s="33"/>
      <c r="B188" s="73"/>
      <c r="C188" s="73"/>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c r="AJ188" s="33"/>
    </row>
    <row r="189" spans="1:36" x14ac:dyDescent="0.2">
      <c r="A189" s="33"/>
      <c r="B189" s="73"/>
      <c r="C189" s="7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c r="AJ189" s="33"/>
    </row>
    <row r="190" spans="1:36" x14ac:dyDescent="0.2">
      <c r="A190" s="33"/>
      <c r="B190" s="73"/>
      <c r="C190" s="73"/>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c r="AG190" s="33"/>
      <c r="AH190" s="33"/>
      <c r="AI190" s="33"/>
      <c r="AJ190" s="33"/>
    </row>
    <row r="191" spans="1:36" x14ac:dyDescent="0.2">
      <c r="A191" s="33"/>
      <c r="B191" s="73"/>
      <c r="C191" s="73"/>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c r="AJ191" s="33"/>
    </row>
    <row r="192" spans="1:36" x14ac:dyDescent="0.2">
      <c r="A192" s="33"/>
      <c r="B192" s="73"/>
      <c r="C192" s="73"/>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c r="AJ192" s="33"/>
    </row>
    <row r="193" spans="1:36" x14ac:dyDescent="0.2">
      <c r="A193" s="33"/>
      <c r="B193" s="73"/>
      <c r="C193" s="73"/>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c r="AD193" s="33"/>
      <c r="AE193" s="33"/>
      <c r="AF193" s="33"/>
      <c r="AG193" s="33"/>
      <c r="AH193" s="33"/>
      <c r="AI193" s="33"/>
      <c r="AJ193" s="33"/>
    </row>
    <row r="194" spans="1:36" x14ac:dyDescent="0.2">
      <c r="A194" s="33"/>
      <c r="B194" s="73"/>
      <c r="C194" s="73"/>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c r="AG194" s="33"/>
      <c r="AH194" s="33"/>
      <c r="AI194" s="33"/>
      <c r="AJ194" s="33"/>
    </row>
    <row r="195" spans="1:36" x14ac:dyDescent="0.2">
      <c r="A195" s="33"/>
      <c r="B195" s="73"/>
      <c r="C195" s="73"/>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c r="AG195" s="33"/>
      <c r="AH195" s="33"/>
      <c r="AI195" s="33"/>
      <c r="AJ195" s="33"/>
    </row>
    <row r="196" spans="1:36" x14ac:dyDescent="0.2">
      <c r="A196" s="33"/>
      <c r="B196" s="73"/>
      <c r="C196" s="73"/>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c r="AG196" s="33"/>
      <c r="AH196" s="33"/>
      <c r="AI196" s="33"/>
      <c r="AJ196" s="33"/>
    </row>
    <row r="197" spans="1:36" x14ac:dyDescent="0.2">
      <c r="A197" s="33"/>
      <c r="B197" s="73"/>
      <c r="C197" s="73"/>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c r="AJ197" s="33"/>
    </row>
    <row r="198" spans="1:36" x14ac:dyDescent="0.2">
      <c r="A198" s="33"/>
      <c r="B198" s="73"/>
      <c r="C198" s="73"/>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c r="AJ198" s="33"/>
    </row>
    <row r="199" spans="1:36" x14ac:dyDescent="0.2">
      <c r="A199" s="33"/>
      <c r="B199" s="73"/>
      <c r="C199" s="73"/>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c r="AJ199" s="33"/>
    </row>
    <row r="200" spans="1:36" x14ac:dyDescent="0.2">
      <c r="A200" s="33"/>
      <c r="B200" s="73"/>
      <c r="C200" s="73"/>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c r="AJ200" s="33"/>
    </row>
    <row r="201" spans="1:36" x14ac:dyDescent="0.2">
      <c r="A201" s="33"/>
      <c r="B201" s="73"/>
      <c r="C201" s="73"/>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c r="AJ201" s="33"/>
    </row>
    <row r="202" spans="1:36" x14ac:dyDescent="0.2">
      <c r="A202" s="33"/>
      <c r="B202" s="73"/>
      <c r="C202" s="73"/>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c r="AJ202" s="33"/>
    </row>
    <row r="203" spans="1:36" x14ac:dyDescent="0.2">
      <c r="A203" s="33"/>
      <c r="B203" s="73"/>
      <c r="C203" s="73"/>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c r="AJ203" s="33"/>
    </row>
    <row r="204" spans="1:36" x14ac:dyDescent="0.2">
      <c r="A204" s="33"/>
      <c r="B204" s="73"/>
      <c r="C204" s="73"/>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c r="AJ204" s="33"/>
    </row>
    <row r="205" spans="1:36" x14ac:dyDescent="0.2">
      <c r="A205" s="33"/>
      <c r="B205" s="73"/>
      <c r="C205" s="73"/>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c r="AJ205" s="33"/>
    </row>
    <row r="206" spans="1:36" x14ac:dyDescent="0.2">
      <c r="A206" s="33"/>
      <c r="B206" s="73"/>
      <c r="C206" s="73"/>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c r="AJ206" s="33"/>
    </row>
    <row r="207" spans="1:36" x14ac:dyDescent="0.2">
      <c r="A207" s="33"/>
      <c r="B207" s="73"/>
      <c r="C207" s="7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c r="AJ207" s="33"/>
    </row>
    <row r="208" spans="1:36" x14ac:dyDescent="0.2">
      <c r="A208" s="33"/>
      <c r="B208" s="73"/>
      <c r="C208" s="73"/>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c r="AG208" s="33"/>
      <c r="AH208" s="33"/>
      <c r="AI208" s="33"/>
      <c r="AJ208" s="33"/>
    </row>
    <row r="209" spans="1:36" x14ac:dyDescent="0.2">
      <c r="A209" s="33"/>
      <c r="B209" s="73"/>
      <c r="C209" s="73"/>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c r="AG209" s="33"/>
      <c r="AH209" s="33"/>
      <c r="AI209" s="33"/>
      <c r="AJ209" s="33"/>
    </row>
    <row r="210" spans="1:36" x14ac:dyDescent="0.2">
      <c r="A210" s="33"/>
      <c r="B210" s="73"/>
      <c r="C210" s="73"/>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c r="AG210" s="33"/>
      <c r="AH210" s="33"/>
      <c r="AI210" s="33"/>
      <c r="AJ210" s="33"/>
    </row>
    <row r="211" spans="1:36" x14ac:dyDescent="0.2">
      <c r="A211" s="33"/>
      <c r="B211" s="73"/>
      <c r="C211" s="7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row>
    <row r="212" spans="1:36" x14ac:dyDescent="0.2">
      <c r="A212" s="33"/>
      <c r="B212" s="73"/>
      <c r="C212" s="73"/>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c r="AJ212" s="33"/>
    </row>
    <row r="213" spans="1:36" x14ac:dyDescent="0.2">
      <c r="A213" s="33"/>
      <c r="B213" s="73"/>
      <c r="C213" s="73"/>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c r="AJ213" s="33"/>
    </row>
    <row r="214" spans="1:36" x14ac:dyDescent="0.2">
      <c r="A214" s="33"/>
      <c r="B214" s="73"/>
      <c r="C214" s="7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row>
    <row r="215" spans="1:36" x14ac:dyDescent="0.2">
      <c r="A215" s="33"/>
      <c r="B215" s="73"/>
      <c r="C215" s="73"/>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c r="AJ215" s="33"/>
    </row>
    <row r="216" spans="1:36" x14ac:dyDescent="0.2">
      <c r="A216" s="33"/>
      <c r="B216" s="73"/>
      <c r="C216" s="73"/>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c r="AJ216" s="33"/>
    </row>
    <row r="217" spans="1:36" x14ac:dyDescent="0.2">
      <c r="A217" s="33"/>
      <c r="B217" s="73"/>
      <c r="C217" s="7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row>
    <row r="218" spans="1:36" x14ac:dyDescent="0.2">
      <c r="A218" s="33"/>
      <c r="B218" s="73"/>
      <c r="C218" s="73"/>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c r="AF218" s="33"/>
      <c r="AG218" s="33"/>
      <c r="AH218" s="33"/>
      <c r="AI218" s="33"/>
      <c r="AJ218" s="33"/>
    </row>
    <row r="219" spans="1:36" x14ac:dyDescent="0.2">
      <c r="A219" s="33"/>
      <c r="B219" s="73"/>
      <c r="C219" s="73"/>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c r="AJ219" s="33"/>
    </row>
    <row r="220" spans="1:36" x14ac:dyDescent="0.2">
      <c r="A220" s="33"/>
      <c r="B220" s="73"/>
      <c r="C220" s="73"/>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c r="AJ220" s="33"/>
    </row>
    <row r="221" spans="1:36" x14ac:dyDescent="0.2">
      <c r="A221" s="33"/>
      <c r="B221" s="73"/>
      <c r="C221" s="73"/>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c r="AJ221" s="33"/>
    </row>
    <row r="222" spans="1:36" x14ac:dyDescent="0.2">
      <c r="A222" s="33"/>
      <c r="B222" s="73"/>
      <c r="C222" s="73"/>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c r="AG222" s="33"/>
      <c r="AH222" s="33"/>
      <c r="AI222" s="33"/>
      <c r="AJ222" s="33"/>
    </row>
    <row r="223" spans="1:36" x14ac:dyDescent="0.2">
      <c r="A223" s="33"/>
      <c r="B223" s="73"/>
      <c r="C223" s="73"/>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c r="AG223" s="33"/>
      <c r="AH223" s="33"/>
      <c r="AI223" s="33"/>
      <c r="AJ223" s="33"/>
    </row>
    <row r="224" spans="1:36" x14ac:dyDescent="0.2">
      <c r="A224" s="33"/>
      <c r="B224" s="73"/>
      <c r="C224" s="73"/>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c r="AJ224" s="33"/>
    </row>
    <row r="225" spans="1:36" x14ac:dyDescent="0.2">
      <c r="A225" s="33"/>
      <c r="B225" s="73"/>
      <c r="C225" s="73"/>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c r="AJ225" s="33"/>
    </row>
    <row r="226" spans="1:36" x14ac:dyDescent="0.2">
      <c r="A226" s="33"/>
      <c r="B226" s="73"/>
      <c r="C226" s="7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c r="AJ226" s="33"/>
    </row>
    <row r="227" spans="1:36" x14ac:dyDescent="0.2">
      <c r="A227" s="33"/>
      <c r="B227" s="73"/>
      <c r="C227" s="73"/>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c r="AJ227" s="33"/>
    </row>
    <row r="228" spans="1:36" x14ac:dyDescent="0.2">
      <c r="A228" s="33"/>
      <c r="B228" s="73"/>
      <c r="C228" s="73"/>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c r="AG228" s="33"/>
      <c r="AH228" s="33"/>
      <c r="AI228" s="33"/>
      <c r="AJ228" s="33"/>
    </row>
    <row r="229" spans="1:36" x14ac:dyDescent="0.2">
      <c r="A229" s="33"/>
      <c r="B229" s="73"/>
      <c r="C229" s="73"/>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c r="AJ229" s="33"/>
    </row>
    <row r="230" spans="1:36" x14ac:dyDescent="0.2">
      <c r="A230" s="33"/>
      <c r="B230" s="73"/>
      <c r="C230" s="73"/>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c r="AF230" s="33"/>
      <c r="AG230" s="33"/>
      <c r="AH230" s="33"/>
      <c r="AI230" s="33"/>
      <c r="AJ230" s="33"/>
    </row>
    <row r="231" spans="1:36" x14ac:dyDescent="0.2">
      <c r="A231" s="33"/>
      <c r="B231" s="73"/>
      <c r="C231" s="7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row>
    <row r="232" spans="1:36" x14ac:dyDescent="0.2">
      <c r="A232" s="33"/>
      <c r="B232" s="73"/>
      <c r="C232" s="73"/>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c r="AF232" s="33"/>
      <c r="AG232" s="33"/>
      <c r="AH232" s="33"/>
      <c r="AI232" s="33"/>
      <c r="AJ232" s="33"/>
    </row>
    <row r="233" spans="1:36" x14ac:dyDescent="0.2">
      <c r="A233" s="33"/>
      <c r="B233" s="73"/>
      <c r="C233" s="7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row>
    <row r="234" spans="1:36" x14ac:dyDescent="0.2">
      <c r="A234" s="33"/>
      <c r="B234" s="73"/>
      <c r="C234" s="73"/>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c r="AG234" s="33"/>
      <c r="AH234" s="33"/>
      <c r="AI234" s="33"/>
      <c r="AJ234" s="33"/>
    </row>
    <row r="235" spans="1:36" x14ac:dyDescent="0.2">
      <c r="A235" s="33"/>
      <c r="B235" s="73"/>
      <c r="C235" s="7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c r="AJ235" s="33"/>
    </row>
    <row r="236" spans="1:36" x14ac:dyDescent="0.2">
      <c r="A236" s="33"/>
      <c r="B236" s="73"/>
      <c r="C236" s="73"/>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c r="AF236" s="33"/>
      <c r="AG236" s="33"/>
      <c r="AH236" s="33"/>
      <c r="AI236" s="33"/>
      <c r="AJ236" s="33"/>
    </row>
  </sheetData>
  <mergeCells count="2">
    <mergeCell ref="A1:B1"/>
    <mergeCell ref="D1:E1"/>
  </mergeCells>
  <conditionalFormatting sqref="N105:N114">
    <cfRule type="cellIs" dxfId="19" priority="20" operator="lessThan">
      <formula>0</formula>
    </cfRule>
    <cfRule type="cellIs" dxfId="18" priority="21" operator="greaterThan">
      <formula>0</formula>
    </cfRule>
  </conditionalFormatting>
  <conditionalFormatting sqref="AC36:AC104">
    <cfRule type="colorScale" priority="2">
      <colorScale>
        <cfvo type="min"/>
        <cfvo type="num" val="0"/>
        <cfvo type="max"/>
        <color rgb="FF00CC66"/>
        <color rgb="FFFFEB84"/>
        <color rgb="FFFF6D6D"/>
      </colorScale>
    </cfRule>
    <cfRule type="colorScale" priority="6">
      <colorScale>
        <cfvo type="min"/>
        <cfvo type="num" val="0"/>
        <cfvo type="max"/>
        <color rgb="FF00B050"/>
        <color rgb="FFFFEB84"/>
        <color rgb="FFFF0000"/>
      </colorScale>
    </cfRule>
    <cfRule type="cellIs" dxfId="17" priority="16" operator="greaterThan">
      <formula>$AC$36</formula>
    </cfRule>
    <cfRule type="cellIs" dxfId="16" priority="19" operator="greaterThan">
      <formula>$AC$36</formula>
    </cfRule>
  </conditionalFormatting>
  <conditionalFormatting sqref="AB36:AB104">
    <cfRule type="colorScale" priority="3">
      <colorScale>
        <cfvo type="min"/>
        <cfvo type="num" val="0"/>
        <cfvo type="max"/>
        <color rgb="FF00CC66"/>
        <color rgb="FFFFEB84"/>
        <color rgb="FFFF6D6D"/>
      </colorScale>
    </cfRule>
    <cfRule type="colorScale" priority="7">
      <colorScale>
        <cfvo type="min"/>
        <cfvo type="num" val="0"/>
        <cfvo type="max"/>
        <color rgb="FF00B050"/>
        <color rgb="FFFFEB84"/>
        <color rgb="FFFF0000"/>
      </colorScale>
    </cfRule>
    <cfRule type="cellIs" dxfId="15" priority="18" operator="lessThan">
      <formula>0</formula>
    </cfRule>
  </conditionalFormatting>
  <conditionalFormatting sqref="AA36:AA104">
    <cfRule type="colorScale" priority="4">
      <colorScale>
        <cfvo type="min"/>
        <cfvo type="num" val="0"/>
        <cfvo type="max"/>
        <color rgb="FF00CC66"/>
        <color rgb="FFFFEB84"/>
        <color rgb="FFFF6D6D"/>
      </colorScale>
    </cfRule>
    <cfRule type="colorScale" priority="8">
      <colorScale>
        <cfvo type="min"/>
        <cfvo type="num" val="0"/>
        <cfvo type="max"/>
        <color rgb="FF00B050"/>
        <color rgb="FFFFEB84"/>
        <color rgb="FFFF0000"/>
      </colorScale>
    </cfRule>
    <cfRule type="cellIs" dxfId="14" priority="17" operator="lessThan">
      <formula>0</formula>
    </cfRule>
  </conditionalFormatting>
  <conditionalFormatting sqref="W36:W104">
    <cfRule type="colorScale" priority="10">
      <colorScale>
        <cfvo type="min"/>
        <cfvo type="percentile" val="50"/>
        <cfvo type="max"/>
        <color rgb="FF63BE7B"/>
        <color rgb="FFFFEB84"/>
        <color rgb="FFF8696B"/>
      </colorScale>
    </cfRule>
    <cfRule type="cellIs" dxfId="13" priority="14" operator="greaterThan">
      <formula>0</formula>
    </cfRule>
    <cfRule type="cellIs" dxfId="12" priority="15" operator="lessThan">
      <formula>0</formula>
    </cfRule>
  </conditionalFormatting>
  <conditionalFormatting sqref="X37:X104">
    <cfRule type="colorScale" priority="13">
      <colorScale>
        <cfvo type="min"/>
        <cfvo type="percentile" val="50"/>
        <cfvo type="max"/>
        <color rgb="FF63BE7B"/>
        <color rgb="FFFFEB84"/>
        <color rgb="FFF8696B"/>
      </colorScale>
    </cfRule>
  </conditionalFormatting>
  <conditionalFormatting sqref="Z36:Z104">
    <cfRule type="colorScale" priority="12">
      <colorScale>
        <cfvo type="min"/>
        <cfvo type="percentile" val="50"/>
        <cfvo type="max"/>
        <color rgb="FF63BE7B"/>
        <color rgb="FFFFEB84"/>
        <color rgb="FFF8696B"/>
      </colorScale>
    </cfRule>
  </conditionalFormatting>
  <conditionalFormatting sqref="X36:X104">
    <cfRule type="colorScale" priority="11">
      <colorScale>
        <cfvo type="min"/>
        <cfvo type="percentile" val="50"/>
        <cfvo type="max"/>
        <color rgb="FF63BE7B"/>
        <color rgb="FFFFEB84"/>
        <color rgb="FFF8696B"/>
      </colorScale>
    </cfRule>
  </conditionalFormatting>
  <conditionalFormatting sqref="Y36:Y104">
    <cfRule type="colorScale" priority="9">
      <colorScale>
        <cfvo type="min"/>
        <cfvo type="percentile" val="50"/>
        <cfvo type="max"/>
        <color rgb="FF63BE7B"/>
        <color rgb="FFFFEB84"/>
        <color rgb="FFF8696B"/>
      </colorScale>
    </cfRule>
  </conditionalFormatting>
  <conditionalFormatting sqref="AA36:AC104">
    <cfRule type="colorScale" priority="5">
      <colorScale>
        <cfvo type="min"/>
        <cfvo type="num" val="0"/>
        <cfvo type="max"/>
        <color rgb="FF00CC66"/>
        <color rgb="FFFFEB84"/>
        <color rgb="FFFF6D6D"/>
      </colorScale>
    </cfRule>
  </conditionalFormatting>
  <hyperlinks>
    <hyperlink ref="AH2" r:id="rId1"/>
    <hyperlink ref="AH5" r:id="rId2"/>
    <hyperlink ref="AH7" r:id="rId3"/>
    <hyperlink ref="AH4" r:id="rId4"/>
    <hyperlink ref="AH3" r:id="rId5"/>
  </hyperlinks>
  <pageMargins left="0.7" right="0.7" top="0.75" bottom="0.75" header="0.3" footer="0.3"/>
  <pageSetup paperSize="9" orientation="portrait" r:id="rId6"/>
  <drawing r:id="rId7"/>
  <legacyDrawing r:id="rId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238"/>
  <sheetViews>
    <sheetView tabSelected="1" topLeftCell="Z58" zoomScale="70" zoomScaleNormal="70" workbookViewId="0">
      <selection activeCell="AJ156" sqref="AJ156"/>
    </sheetView>
  </sheetViews>
  <sheetFormatPr defaultRowHeight="17.25" x14ac:dyDescent="0.35"/>
  <cols>
    <col min="1" max="1" width="36.75" bestFit="1" customWidth="1"/>
    <col min="2" max="2" width="6.625" bestFit="1" customWidth="1"/>
    <col min="3" max="3" width="107.375" customWidth="1"/>
    <col min="4" max="4" width="26.75" bestFit="1" customWidth="1"/>
    <col min="5" max="5" width="86.375" bestFit="1" customWidth="1"/>
    <col min="6" max="6" width="115.875" customWidth="1"/>
    <col min="7" max="7" width="105.875" customWidth="1"/>
    <col min="8" max="8" width="29.875" bestFit="1" customWidth="1"/>
    <col min="9" max="9" width="26.125" bestFit="1" customWidth="1"/>
    <col min="10" max="10" width="21.75" bestFit="1" customWidth="1"/>
    <col min="11" max="11" width="28.875" bestFit="1" customWidth="1"/>
    <col min="12" max="12" width="8.625" bestFit="1" customWidth="1"/>
    <col min="13" max="13" width="25.125" bestFit="1" customWidth="1"/>
    <col min="14" max="14" width="30.625" bestFit="1" customWidth="1"/>
    <col min="15" max="15" width="18.875" bestFit="1" customWidth="1"/>
    <col min="16" max="16" width="19.5" bestFit="1" customWidth="1"/>
    <col min="17" max="17" width="33.875" bestFit="1" customWidth="1"/>
    <col min="18" max="18" width="32" bestFit="1" customWidth="1"/>
    <col min="19" max="19" width="21.125" bestFit="1" customWidth="1"/>
    <col min="20" max="20" width="26.75" bestFit="1" customWidth="1"/>
    <col min="21" max="21" width="19.5" bestFit="1" customWidth="1"/>
    <col min="22" max="22" width="16.375" bestFit="1" customWidth="1"/>
    <col min="23" max="24" width="37.375" bestFit="1" customWidth="1"/>
    <col min="25" max="25" width="21.75" bestFit="1" customWidth="1"/>
    <col min="26" max="26" width="31.375" bestFit="1" customWidth="1"/>
    <col min="27" max="27" width="41.125" bestFit="1" customWidth="1"/>
    <col min="28" max="28" width="38" bestFit="1" customWidth="1"/>
    <col min="29" max="29" width="36.75" bestFit="1" customWidth="1"/>
    <col min="30" max="30" width="22.25" bestFit="1" customWidth="1"/>
    <col min="31" max="31" width="19.375" customWidth="1"/>
    <col min="32" max="32" width="33.125" bestFit="1" customWidth="1"/>
    <col min="33" max="35" width="33.125" customWidth="1"/>
    <col min="36" max="36" width="9.25" customWidth="1"/>
    <col min="37" max="37" width="28.75" style="85" bestFit="1" customWidth="1"/>
    <col min="38" max="38" width="39.625" style="85" bestFit="1" customWidth="1"/>
    <col min="39" max="39" width="28.25" style="85" bestFit="1" customWidth="1"/>
    <col min="40" max="40" width="30.625" style="85" bestFit="1" customWidth="1"/>
    <col min="41" max="41" width="50.375" style="85" bestFit="1" customWidth="1"/>
    <col min="42" max="43" width="21.625" style="85" customWidth="1"/>
    <col min="44" max="44" width="33.75" style="85" customWidth="1"/>
    <col min="45" max="47" width="21.625" style="85" customWidth="1"/>
    <col min="48" max="48" width="27.5" bestFit="1" customWidth="1"/>
    <col min="49" max="49" width="24.25" customWidth="1"/>
    <col min="50" max="50" width="34.625" bestFit="1" customWidth="1"/>
    <col min="51" max="51" width="29" bestFit="1" customWidth="1"/>
    <col min="52" max="52" width="31.875" bestFit="1" customWidth="1"/>
    <col min="53" max="53" width="24.875" bestFit="1" customWidth="1"/>
    <col min="54" max="54" width="23.375" bestFit="1" customWidth="1"/>
    <col min="55" max="55" width="22.125" bestFit="1" customWidth="1"/>
    <col min="56" max="56" width="11.375" bestFit="1" customWidth="1"/>
    <col min="78" max="78" width="24.25" bestFit="1" customWidth="1"/>
    <col min="79" max="79" width="35.625" bestFit="1" customWidth="1"/>
    <col min="80" max="80" width="31.5" bestFit="1" customWidth="1"/>
    <col min="81" max="81" width="10.125" bestFit="1" customWidth="1"/>
    <col min="82" max="82" width="25.375" bestFit="1" customWidth="1"/>
    <col min="83" max="83" width="13.125" bestFit="1" customWidth="1"/>
    <col min="84" max="84" width="29.125" bestFit="1" customWidth="1"/>
  </cols>
  <sheetData>
    <row r="1" spans="1:101" ht="20.25" x14ac:dyDescent="0.35">
      <c r="A1" s="137" t="s">
        <v>62</v>
      </c>
      <c r="B1" s="138"/>
      <c r="C1" s="35" t="s">
        <v>160</v>
      </c>
      <c r="D1" s="135" t="s">
        <v>63</v>
      </c>
      <c r="E1" s="139"/>
      <c r="F1" s="36" t="s">
        <v>145</v>
      </c>
      <c r="G1" s="84" t="s">
        <v>161</v>
      </c>
      <c r="H1" s="36" t="s">
        <v>94</v>
      </c>
      <c r="I1" s="36" t="s">
        <v>0</v>
      </c>
      <c r="J1" s="36" t="s">
        <v>110</v>
      </c>
      <c r="K1" s="36" t="s">
        <v>172</v>
      </c>
      <c r="L1" s="36" t="s">
        <v>170</v>
      </c>
      <c r="M1" s="36" t="s">
        <v>192</v>
      </c>
      <c r="N1" s="36" t="s">
        <v>197</v>
      </c>
      <c r="O1" s="36" t="s">
        <v>177</v>
      </c>
      <c r="P1" s="36" t="s">
        <v>188</v>
      </c>
      <c r="Q1" s="36" t="s">
        <v>179</v>
      </c>
      <c r="R1" s="36" t="s">
        <v>173</v>
      </c>
      <c r="S1" s="36" t="s">
        <v>190</v>
      </c>
      <c r="T1" s="36" t="s">
        <v>174</v>
      </c>
      <c r="U1" s="36" t="s">
        <v>175</v>
      </c>
      <c r="V1" s="36" t="s">
        <v>176</v>
      </c>
      <c r="W1" s="36" t="s">
        <v>182</v>
      </c>
      <c r="X1" s="36" t="s">
        <v>181</v>
      </c>
      <c r="Y1" s="36" t="s">
        <v>180</v>
      </c>
      <c r="Z1" s="36" t="s">
        <v>183</v>
      </c>
      <c r="AA1" s="36" t="s">
        <v>138</v>
      </c>
      <c r="AB1" s="36" t="s">
        <v>137</v>
      </c>
      <c r="AC1" s="36" t="s">
        <v>157</v>
      </c>
      <c r="AD1" s="127"/>
      <c r="AE1" s="127"/>
      <c r="AF1" s="69"/>
      <c r="AG1" s="69"/>
      <c r="AH1" s="69"/>
      <c r="AI1" s="69"/>
      <c r="AJ1" s="69"/>
      <c r="AK1" s="124"/>
      <c r="AL1" s="124"/>
      <c r="AM1" s="124"/>
      <c r="AN1" s="124"/>
      <c r="AO1" s="124"/>
      <c r="AP1" s="124"/>
      <c r="AQ1" s="124"/>
      <c r="AR1" s="124"/>
      <c r="AS1" s="124"/>
      <c r="AT1" s="124"/>
      <c r="AU1" s="124"/>
      <c r="AV1" s="69"/>
      <c r="AW1" s="116" t="s">
        <v>208</v>
      </c>
      <c r="AX1" s="116" t="s">
        <v>207</v>
      </c>
      <c r="AY1" s="116" t="s">
        <v>206</v>
      </c>
      <c r="AZ1" s="116" t="s">
        <v>205</v>
      </c>
      <c r="BA1" s="116" t="s">
        <v>203</v>
      </c>
      <c r="BB1" s="116" t="s">
        <v>202</v>
      </c>
      <c r="BC1" s="116" t="s">
        <v>200</v>
      </c>
      <c r="BD1" s="116" t="s">
        <v>199</v>
      </c>
      <c r="BE1" s="69"/>
      <c r="BF1" s="69"/>
      <c r="BG1" s="69"/>
      <c r="BH1" s="69"/>
      <c r="BI1" s="69"/>
      <c r="BJ1" s="69"/>
      <c r="BK1" s="69"/>
      <c r="BL1" s="69"/>
      <c r="BM1" s="69"/>
      <c r="BN1" s="69"/>
      <c r="BO1" s="69"/>
      <c r="BP1" s="69"/>
      <c r="BQ1" s="69"/>
      <c r="BR1" s="69"/>
      <c r="BS1" s="69"/>
      <c r="BT1" s="69"/>
      <c r="BU1" s="69"/>
      <c r="BV1" s="69"/>
      <c r="BW1" s="69"/>
      <c r="BX1" s="69"/>
      <c r="BY1" s="149"/>
      <c r="BZ1" s="149"/>
      <c r="CA1" s="149"/>
      <c r="CB1" s="149"/>
      <c r="CC1" s="149"/>
      <c r="CD1" s="149"/>
      <c r="CE1" s="149"/>
      <c r="CF1" s="149"/>
      <c r="CG1" s="149"/>
      <c r="CH1" s="69"/>
      <c r="CI1" s="69"/>
      <c r="CJ1" s="69"/>
      <c r="CK1" s="69"/>
      <c r="CL1" s="69"/>
      <c r="CM1" s="69"/>
      <c r="CN1" s="69"/>
      <c r="CO1" s="69"/>
      <c r="CP1" s="69"/>
      <c r="CQ1" s="69"/>
      <c r="CR1" s="69"/>
      <c r="CS1" s="69"/>
      <c r="CT1" s="69"/>
      <c r="CU1" s="69"/>
      <c r="CV1" s="69"/>
      <c r="CW1" s="69"/>
    </row>
    <row r="2" spans="1:101" ht="19.5" x14ac:dyDescent="0.35">
      <c r="A2" s="38" t="s">
        <v>155</v>
      </c>
      <c r="B2" s="39">
        <v>719</v>
      </c>
      <c r="C2" s="41"/>
      <c r="D2" s="38" t="s">
        <v>144</v>
      </c>
      <c r="E2" s="40" t="s">
        <v>145</v>
      </c>
      <c r="F2" s="41"/>
      <c r="G2" s="105"/>
      <c r="H2" s="38" t="s">
        <v>29</v>
      </c>
      <c r="I2" s="108">
        <v>0</v>
      </c>
      <c r="J2" s="38">
        <v>0</v>
      </c>
      <c r="K2" s="38">
        <v>0</v>
      </c>
      <c r="L2" s="38">
        <v>0</v>
      </c>
      <c r="M2" s="93">
        <v>0</v>
      </c>
      <c r="N2" s="38">
        <f>(M2/7.6635)*100</f>
        <v>0</v>
      </c>
      <c r="O2" s="38">
        <f>K2*M2</f>
        <v>0</v>
      </c>
      <c r="P2" s="38">
        <f>O2*2.237</f>
        <v>0</v>
      </c>
      <c r="Q2" s="38">
        <f t="shared" ref="Q2" si="0">K2*O2</f>
        <v>0</v>
      </c>
      <c r="R2" s="93">
        <f>L324</f>
        <v>0</v>
      </c>
      <c r="S2" s="93">
        <v>0</v>
      </c>
      <c r="T2" s="38">
        <v>0</v>
      </c>
      <c r="U2" s="93">
        <v>8</v>
      </c>
      <c r="V2" s="93">
        <v>0</v>
      </c>
      <c r="W2" s="38">
        <f>$E$6*M2</f>
        <v>0</v>
      </c>
      <c r="X2" s="38">
        <f>0.5*$B$3*$E$14*$E$13*O2^2</f>
        <v>0</v>
      </c>
      <c r="Y2" s="38">
        <f>$E$6*$B$5*$B$4</f>
        <v>568.98</v>
      </c>
      <c r="Z2" s="38">
        <f>$E$6*$B$5*SIN(RADIANS(V2))</f>
        <v>0</v>
      </c>
      <c r="AA2" s="38">
        <f>X2+Y2+Z2+W2</f>
        <v>568.98</v>
      </c>
      <c r="AB2" s="38">
        <f t="shared" ref="AB2:AB33" si="1">AA2*O2</f>
        <v>0</v>
      </c>
      <c r="AC2" s="38">
        <f>147200-AB2</f>
        <v>147200</v>
      </c>
      <c r="AD2" s="127"/>
      <c r="AE2" s="127"/>
      <c r="AF2" s="69"/>
      <c r="AG2" s="69"/>
      <c r="AH2" s="69"/>
      <c r="AI2" s="69"/>
      <c r="AJ2" s="69"/>
      <c r="AK2" s="71"/>
      <c r="AL2" s="71"/>
      <c r="AM2" s="71"/>
      <c r="AN2" s="71"/>
      <c r="AO2" s="71"/>
      <c r="AP2" s="71"/>
      <c r="AQ2" s="71"/>
      <c r="AR2" s="71"/>
      <c r="AS2" s="71"/>
      <c r="AT2" s="71"/>
      <c r="AU2" s="71"/>
      <c r="AV2" s="69"/>
      <c r="AW2" s="48" t="s">
        <v>198</v>
      </c>
      <c r="AX2" s="48">
        <v>370</v>
      </c>
      <c r="AY2" s="48">
        <v>200</v>
      </c>
      <c r="AZ2" s="48">
        <v>160</v>
      </c>
      <c r="BA2" s="48" t="s">
        <v>204</v>
      </c>
      <c r="BB2" s="48" t="s">
        <v>201</v>
      </c>
      <c r="BC2" s="48">
        <v>94</v>
      </c>
      <c r="BD2" s="48">
        <v>28.2</v>
      </c>
      <c r="BE2" s="69"/>
      <c r="BF2" s="69"/>
      <c r="BG2" s="69"/>
      <c r="BH2" s="110" t="s">
        <v>195</v>
      </c>
      <c r="BI2" s="69"/>
      <c r="BJ2" s="69"/>
      <c r="BK2" s="69"/>
      <c r="BL2" s="69"/>
      <c r="BM2" s="69"/>
      <c r="BN2" s="69"/>
      <c r="BO2" s="69"/>
      <c r="BP2" s="69"/>
      <c r="BQ2" s="69"/>
      <c r="BR2" s="69"/>
      <c r="BS2" s="69"/>
      <c r="BT2" s="69"/>
      <c r="BU2" s="69"/>
      <c r="BV2" s="69"/>
      <c r="BW2" s="69"/>
      <c r="BX2" s="69"/>
      <c r="BY2" s="149"/>
      <c r="BZ2" s="97" t="s">
        <v>259</v>
      </c>
      <c r="CA2" s="97" t="s">
        <v>315</v>
      </c>
      <c r="CB2" s="97" t="s">
        <v>283</v>
      </c>
      <c r="CC2" s="97" t="s">
        <v>262</v>
      </c>
      <c r="CD2" s="97" t="s">
        <v>281</v>
      </c>
      <c r="CE2" s="97" t="s">
        <v>263</v>
      </c>
      <c r="CF2" s="97" t="s">
        <v>282</v>
      </c>
      <c r="CG2" s="149" t="s">
        <v>275</v>
      </c>
      <c r="CH2" s="69"/>
      <c r="CI2" s="69"/>
      <c r="CJ2" s="69"/>
      <c r="CK2" s="69"/>
      <c r="CL2" s="69"/>
      <c r="CM2" s="69"/>
      <c r="CN2" s="69"/>
      <c r="CO2" s="69"/>
      <c r="CP2" s="69"/>
      <c r="CQ2" s="69"/>
      <c r="CR2" s="69"/>
      <c r="CS2" s="69"/>
      <c r="CT2" s="69"/>
      <c r="CU2" s="69"/>
      <c r="CV2" s="69"/>
      <c r="CW2" s="69"/>
    </row>
    <row r="3" spans="1:101" ht="19.5" x14ac:dyDescent="0.35">
      <c r="A3" s="38" t="s">
        <v>165</v>
      </c>
      <c r="B3" s="39">
        <v>1.2</v>
      </c>
      <c r="C3" s="41"/>
      <c r="D3" s="38" t="s">
        <v>148</v>
      </c>
      <c r="E3" s="44">
        <v>575</v>
      </c>
      <c r="F3" s="45"/>
      <c r="G3" s="106"/>
      <c r="H3" s="38" t="s">
        <v>171</v>
      </c>
      <c r="I3" s="108">
        <v>1</v>
      </c>
      <c r="J3" s="38">
        <v>1</v>
      </c>
      <c r="K3" s="38">
        <v>1</v>
      </c>
      <c r="L3" s="38">
        <v>1</v>
      </c>
      <c r="M3" s="103">
        <v>4.5</v>
      </c>
      <c r="N3" s="38">
        <f>(M3/7.6635)*100</f>
        <v>58.719906048150328</v>
      </c>
      <c r="O3" s="38">
        <f>K3*M3</f>
        <v>4.5</v>
      </c>
      <c r="P3" s="38">
        <f t="shared" ref="P3:P34" si="2">O3*2.237</f>
        <v>10.066500000000001</v>
      </c>
      <c r="Q3" s="38">
        <f>K3*O3</f>
        <v>4.5</v>
      </c>
      <c r="R3" s="93">
        <f>Q3+R2</f>
        <v>4.5</v>
      </c>
      <c r="S3" s="103">
        <v>0.8</v>
      </c>
      <c r="T3" s="97">
        <f>Q3*(SIN(RADIANS(S3)))</f>
        <v>6.2829811526153717E-2</v>
      </c>
      <c r="U3" s="93">
        <f>U2+T3</f>
        <v>8.0628298115261536</v>
      </c>
      <c r="V3" s="93">
        <f t="shared" ref="V3:V34" si="3">DEGREES(ASIN(T3/Q3))</f>
        <v>0.79999999999999993</v>
      </c>
      <c r="W3" s="38">
        <f t="shared" ref="W3:W36" si="4">$E$6*M3</f>
        <v>3262.5</v>
      </c>
      <c r="X3" s="38">
        <f t="shared" ref="X3:X34" si="5">0.5*$B$3*$E$14*$E$13*O3^2</f>
        <v>7.0582994999999995</v>
      </c>
      <c r="Y3" s="38">
        <f t="shared" ref="Y3:Y46" si="6">$E$6*$B$5*$B$4</f>
        <v>568.98</v>
      </c>
      <c r="Z3" s="38">
        <f t="shared" ref="Z3:Z34" si="7">$E$6*$B$5*SIN(RADIANS(V3))</f>
        <v>99.302517117085955</v>
      </c>
      <c r="AA3" s="38">
        <f t="shared" ref="AA3:AA34" si="8">X3+Y3+Z3+W3</f>
        <v>3937.8408166170857</v>
      </c>
      <c r="AB3" s="38">
        <f t="shared" si="1"/>
        <v>17720.283674776885</v>
      </c>
      <c r="AC3" s="38">
        <f>147200-AB3</f>
        <v>129479.71632522311</v>
      </c>
      <c r="AD3" s="127"/>
      <c r="AE3" s="127"/>
      <c r="AF3" s="69"/>
      <c r="AG3" s="69"/>
      <c r="AH3" s="69"/>
      <c r="AI3" s="69"/>
      <c r="AJ3" s="69"/>
      <c r="AK3" s="71"/>
      <c r="AL3" s="71"/>
      <c r="AM3" s="71"/>
      <c r="AN3" s="71"/>
      <c r="AO3" s="71"/>
      <c r="AP3" s="71"/>
      <c r="AQ3" s="71"/>
      <c r="AR3" s="71"/>
      <c r="AS3" s="71"/>
      <c r="AT3" s="71"/>
      <c r="AU3" s="71"/>
      <c r="AV3" s="69"/>
      <c r="AW3" s="117"/>
      <c r="AX3" s="118"/>
      <c r="AY3" s="118"/>
      <c r="AZ3" s="118"/>
      <c r="BA3" s="118"/>
      <c r="BB3" s="118"/>
      <c r="BC3" s="118"/>
      <c r="BD3" s="118"/>
      <c r="BE3" s="69"/>
      <c r="BF3" s="69"/>
      <c r="BG3" s="69"/>
      <c r="BH3" s="69" t="s">
        <v>196</v>
      </c>
      <c r="BI3" s="69"/>
      <c r="BJ3" s="69"/>
      <c r="BK3" s="69"/>
      <c r="BL3" s="69"/>
      <c r="BM3" s="69"/>
      <c r="BN3" s="69"/>
      <c r="BO3" s="69"/>
      <c r="BP3" s="69"/>
      <c r="BQ3" s="69"/>
      <c r="BR3" s="69"/>
      <c r="BS3" s="69"/>
      <c r="BT3" s="69"/>
      <c r="BU3" s="69"/>
      <c r="BV3" s="69"/>
      <c r="BW3" s="69"/>
      <c r="BX3" s="69"/>
      <c r="BY3" s="149"/>
      <c r="BZ3" s="141" t="s">
        <v>208</v>
      </c>
      <c r="CA3" s="144" t="s">
        <v>278</v>
      </c>
      <c r="CB3" s="166" t="s">
        <v>303</v>
      </c>
      <c r="CC3" s="163">
        <v>16000</v>
      </c>
      <c r="CD3" s="166" t="s">
        <v>312</v>
      </c>
      <c r="CE3" s="164">
        <v>68.400000000000006</v>
      </c>
      <c r="CF3" s="166" t="s">
        <v>303</v>
      </c>
      <c r="CG3" s="149" t="s">
        <v>275</v>
      </c>
      <c r="CH3" s="69"/>
      <c r="CI3" s="69"/>
      <c r="CJ3" s="69"/>
      <c r="CK3" s="69"/>
      <c r="CL3" s="69"/>
      <c r="CM3" s="69"/>
      <c r="CN3" s="69"/>
      <c r="CO3" s="69"/>
      <c r="CP3" s="69"/>
      <c r="CQ3" s="69"/>
      <c r="CR3" s="69"/>
      <c r="CS3" s="69"/>
      <c r="CT3" s="69"/>
      <c r="CU3" s="69"/>
      <c r="CV3" s="69"/>
      <c r="CW3" s="69"/>
    </row>
    <row r="4" spans="1:101" ht="19.5" x14ac:dyDescent="0.35">
      <c r="A4" s="38" t="s">
        <v>115</v>
      </c>
      <c r="B4" s="39">
        <v>0.08</v>
      </c>
      <c r="C4" s="41"/>
      <c r="D4" s="38" t="s">
        <v>184</v>
      </c>
      <c r="E4" s="44">
        <v>75</v>
      </c>
      <c r="F4" s="45"/>
      <c r="G4" s="106"/>
      <c r="H4" s="38"/>
      <c r="I4" s="108">
        <v>1</v>
      </c>
      <c r="J4" s="38">
        <v>1</v>
      </c>
      <c r="K4" s="38">
        <v>1</v>
      </c>
      <c r="L4" s="38">
        <v>2</v>
      </c>
      <c r="M4" s="103">
        <v>5.9</v>
      </c>
      <c r="N4" s="38">
        <f t="shared" ref="N4:N34" si="9">(M4/7.6635)*100</f>
        <v>76.98832126313043</v>
      </c>
      <c r="O4" s="38">
        <f>(K4*M4)+O3</f>
        <v>10.4</v>
      </c>
      <c r="P4" s="38">
        <f t="shared" si="2"/>
        <v>23.264800000000001</v>
      </c>
      <c r="Q4" s="38">
        <f t="shared" ref="Q4:Q67" si="10">K4*O4</f>
        <v>10.4</v>
      </c>
      <c r="R4" s="93">
        <f t="shared" ref="R4:R5" si="11">Q4+R3</f>
        <v>14.9</v>
      </c>
      <c r="S4" s="103">
        <v>0.8</v>
      </c>
      <c r="T4" s="97">
        <f t="shared" ref="T4:T36" si="12">Q4*(SIN(RADIANS(S4)))</f>
        <v>0.14520667552711083</v>
      </c>
      <c r="U4" s="93">
        <f>U3+T4</f>
        <v>8.2080364870532652</v>
      </c>
      <c r="V4" s="93">
        <f t="shared" si="3"/>
        <v>0.8</v>
      </c>
      <c r="W4" s="38">
        <f t="shared" si="4"/>
        <v>4277.5</v>
      </c>
      <c r="X4" s="38">
        <f t="shared" si="5"/>
        <v>37.70003328</v>
      </c>
      <c r="Y4" s="38">
        <f t="shared" si="6"/>
        <v>568.98</v>
      </c>
      <c r="Z4" s="38">
        <f t="shared" si="7"/>
        <v>99.302517117085955</v>
      </c>
      <c r="AA4" s="38">
        <f t="shared" si="8"/>
        <v>4983.482550397086</v>
      </c>
      <c r="AB4" s="38">
        <f t="shared" si="1"/>
        <v>51828.218524129697</v>
      </c>
      <c r="AC4" s="38">
        <f t="shared" ref="AC4:AC36" si="13">147200-AB4</f>
        <v>95371.781475870303</v>
      </c>
      <c r="AD4" s="127"/>
      <c r="AE4" s="127"/>
      <c r="AF4" s="69"/>
      <c r="AG4" s="69"/>
      <c r="AH4" s="69"/>
      <c r="AI4" s="69"/>
      <c r="AJ4" s="69"/>
      <c r="AK4" s="71"/>
      <c r="AL4" s="71"/>
      <c r="AM4" s="71"/>
      <c r="AN4" s="71"/>
      <c r="AO4" s="71"/>
      <c r="AP4" s="71"/>
      <c r="AQ4" s="71"/>
      <c r="AR4" s="71"/>
      <c r="AS4" s="71"/>
      <c r="AT4" s="71"/>
      <c r="AU4" s="71"/>
      <c r="AV4" s="69"/>
      <c r="AW4" s="116" t="s">
        <v>269</v>
      </c>
      <c r="AX4" s="116" t="s">
        <v>210</v>
      </c>
      <c r="AY4" s="116" t="s">
        <v>211</v>
      </c>
      <c r="AZ4" s="116" t="s">
        <v>219</v>
      </c>
      <c r="BA4" s="116" t="s">
        <v>218</v>
      </c>
      <c r="BB4" s="116" t="s">
        <v>217</v>
      </c>
      <c r="BC4" s="118"/>
      <c r="BD4" s="118"/>
      <c r="BE4" s="69"/>
      <c r="BF4" s="69"/>
      <c r="BG4" s="69"/>
      <c r="BH4" s="69"/>
      <c r="BI4" s="69"/>
      <c r="BJ4" s="69"/>
      <c r="BK4" s="69"/>
      <c r="BL4" s="69"/>
      <c r="BM4" s="69"/>
      <c r="BN4" s="110" t="s">
        <v>221</v>
      </c>
      <c r="BO4" s="69"/>
      <c r="BP4" s="69"/>
      <c r="BQ4" s="69"/>
      <c r="BR4" s="69"/>
      <c r="BS4" s="69"/>
      <c r="BT4" s="69"/>
      <c r="BU4" s="69"/>
      <c r="BV4" s="69"/>
      <c r="BW4" s="69"/>
      <c r="BX4" s="69"/>
      <c r="BY4" s="149"/>
      <c r="BZ4" s="141" t="s">
        <v>260</v>
      </c>
      <c r="CA4" s="144" t="s">
        <v>314</v>
      </c>
      <c r="CB4" s="166" t="s">
        <v>304</v>
      </c>
      <c r="CC4" s="163">
        <v>8000</v>
      </c>
      <c r="CD4" s="166" t="s">
        <v>312</v>
      </c>
      <c r="CE4" s="164">
        <v>5.7</v>
      </c>
      <c r="CF4" s="166" t="s">
        <v>304</v>
      </c>
      <c r="CG4" s="149" t="s">
        <v>275</v>
      </c>
      <c r="CH4" s="69"/>
      <c r="CI4" s="69"/>
      <c r="CJ4" s="69"/>
      <c r="CK4" s="69"/>
      <c r="CL4" s="69"/>
      <c r="CM4" s="69"/>
      <c r="CN4" s="69"/>
      <c r="CO4" s="69"/>
      <c r="CP4" s="69"/>
      <c r="CQ4" s="69"/>
      <c r="CR4" s="69"/>
      <c r="CS4" s="69"/>
      <c r="CT4" s="69"/>
      <c r="CU4" s="69"/>
      <c r="CV4" s="69"/>
      <c r="CW4" s="69"/>
    </row>
    <row r="5" spans="1:101" ht="19.5" x14ac:dyDescent="0.35">
      <c r="A5" s="46" t="s">
        <v>103</v>
      </c>
      <c r="B5" s="47">
        <v>9.81</v>
      </c>
      <c r="C5" s="41"/>
      <c r="D5" s="41" t="s">
        <v>191</v>
      </c>
      <c r="E5" s="107">
        <v>2</v>
      </c>
      <c r="F5" s="45"/>
      <c r="G5" s="106"/>
      <c r="H5" s="38"/>
      <c r="I5" s="108">
        <v>1</v>
      </c>
      <c r="J5" s="38">
        <v>1</v>
      </c>
      <c r="K5" s="38">
        <v>1</v>
      </c>
      <c r="L5" s="38">
        <v>3</v>
      </c>
      <c r="M5" s="103">
        <v>6.1</v>
      </c>
      <c r="N5" s="38">
        <f t="shared" si="9"/>
        <v>79.598094865270426</v>
      </c>
      <c r="O5" s="38">
        <f t="shared" ref="O5:O68" si="14">(K5*M5)+O4</f>
        <v>16.5</v>
      </c>
      <c r="P5" s="38">
        <f t="shared" si="2"/>
        <v>36.910499999999999</v>
      </c>
      <c r="Q5" s="38">
        <f t="shared" si="10"/>
        <v>16.5</v>
      </c>
      <c r="R5" s="93">
        <f t="shared" si="11"/>
        <v>31.4</v>
      </c>
      <c r="S5" s="103">
        <v>0.86</v>
      </c>
      <c r="T5" s="97">
        <f t="shared" si="12"/>
        <v>0.24765292145094073</v>
      </c>
      <c r="U5" s="93">
        <f>U4+T5</f>
        <v>8.455689408504206</v>
      </c>
      <c r="V5" s="93">
        <f t="shared" si="3"/>
        <v>0.8600000000000001</v>
      </c>
      <c r="W5" s="38">
        <f t="shared" si="4"/>
        <v>4422.5</v>
      </c>
      <c r="X5" s="38">
        <f t="shared" si="5"/>
        <v>94.894915499999996</v>
      </c>
      <c r="Y5" s="38">
        <f t="shared" si="6"/>
        <v>568.98</v>
      </c>
      <c r="Z5" s="38">
        <f t="shared" si="7"/>
        <v>106.7496660963305</v>
      </c>
      <c r="AA5" s="38">
        <f t="shared" si="8"/>
        <v>5193.1245815963302</v>
      </c>
      <c r="AB5" s="38">
        <f t="shared" si="1"/>
        <v>85686.555596339444</v>
      </c>
      <c r="AC5" s="38">
        <f t="shared" si="13"/>
        <v>61513.444403660556</v>
      </c>
      <c r="AD5" s="127"/>
      <c r="AE5" s="127"/>
      <c r="AF5" s="69"/>
      <c r="AG5" s="69"/>
      <c r="AH5" s="69"/>
      <c r="AI5" s="69"/>
      <c r="AJ5" s="69"/>
      <c r="AK5" s="71"/>
      <c r="AL5" s="71"/>
      <c r="AM5" s="71"/>
      <c r="AN5" s="71"/>
      <c r="AO5" s="71"/>
      <c r="AP5" s="71"/>
      <c r="AQ5" s="71"/>
      <c r="AR5" s="71"/>
      <c r="AS5" s="71"/>
      <c r="AT5" s="71"/>
      <c r="AU5" s="71"/>
      <c r="AV5" s="69"/>
      <c r="AW5" s="48" t="s">
        <v>209</v>
      </c>
      <c r="AX5" s="48">
        <v>0.63700000000000001</v>
      </c>
      <c r="AY5" s="48">
        <f>3.14159265*AX5</f>
        <v>2.0011945180500001</v>
      </c>
      <c r="AZ5" s="48">
        <f>O75</f>
        <v>22.975000000000005</v>
      </c>
      <c r="BA5" s="48">
        <f>AZ5/AY5</f>
        <v>11.48064308230629</v>
      </c>
      <c r="BB5" s="48">
        <f>BA5*60</f>
        <v>688.83858493837738</v>
      </c>
      <c r="BC5" s="118"/>
      <c r="BD5" s="118"/>
      <c r="BE5" s="69"/>
      <c r="BF5" s="69"/>
      <c r="BG5" s="69"/>
      <c r="BH5" s="69"/>
      <c r="BI5" s="69"/>
      <c r="BJ5" s="69"/>
      <c r="BK5" s="69"/>
      <c r="BL5" s="69"/>
      <c r="BM5" s="69"/>
      <c r="BN5" s="69"/>
      <c r="BO5" s="69"/>
      <c r="BP5" s="69"/>
      <c r="BQ5" s="69"/>
      <c r="BR5" s="69"/>
      <c r="BS5" s="69"/>
      <c r="BT5" s="69"/>
      <c r="BU5" s="69"/>
      <c r="BV5" s="69"/>
      <c r="BW5" s="69"/>
      <c r="BX5" s="69"/>
      <c r="BY5" s="149"/>
      <c r="BZ5" s="141" t="s">
        <v>264</v>
      </c>
      <c r="CA5" s="126" t="s">
        <v>265</v>
      </c>
      <c r="CB5" s="166" t="s">
        <v>305</v>
      </c>
      <c r="CC5" s="164">
        <v>200</v>
      </c>
      <c r="CD5" s="164" t="s">
        <v>311</v>
      </c>
      <c r="CE5" s="164">
        <v>2.5</v>
      </c>
      <c r="CF5" s="164" t="s">
        <v>311</v>
      </c>
      <c r="CG5" s="149" t="s">
        <v>275</v>
      </c>
      <c r="CH5" s="69"/>
      <c r="CI5" s="69"/>
      <c r="CJ5" s="69"/>
      <c r="CK5" s="69"/>
      <c r="CL5" s="69"/>
      <c r="CM5" s="69"/>
      <c r="CN5" s="69"/>
      <c r="CO5" s="69"/>
      <c r="CP5" s="69"/>
      <c r="CQ5" s="69"/>
      <c r="CR5" s="69"/>
      <c r="CS5" s="69"/>
      <c r="CT5" s="69"/>
      <c r="CU5" s="69"/>
      <c r="CV5" s="69"/>
      <c r="CW5" s="69"/>
    </row>
    <row r="6" spans="1:101" ht="19.5" x14ac:dyDescent="0.35">
      <c r="A6" s="67"/>
      <c r="B6" s="68"/>
      <c r="C6" s="41"/>
      <c r="D6" s="48" t="s">
        <v>146</v>
      </c>
      <c r="E6" s="44">
        <f>E3+(E4*E5)</f>
        <v>725</v>
      </c>
      <c r="F6" s="79"/>
      <c r="G6" s="105"/>
      <c r="H6" s="38"/>
      <c r="I6" s="108">
        <v>2</v>
      </c>
      <c r="J6" s="38">
        <v>2</v>
      </c>
      <c r="K6" s="38">
        <v>1</v>
      </c>
      <c r="L6" s="98">
        <v>4</v>
      </c>
      <c r="M6" s="103">
        <v>6.2</v>
      </c>
      <c r="N6" s="38">
        <f t="shared" si="9"/>
        <v>80.902981666340452</v>
      </c>
      <c r="O6" s="38">
        <f t="shared" si="14"/>
        <v>22.7</v>
      </c>
      <c r="P6" s="38">
        <f t="shared" si="2"/>
        <v>50.779899999999998</v>
      </c>
      <c r="Q6" s="38">
        <f t="shared" si="10"/>
        <v>22.7</v>
      </c>
      <c r="R6" s="100">
        <f>Q6+R5</f>
        <v>54.099999999999994</v>
      </c>
      <c r="S6" s="103">
        <v>7.1272878819970913</v>
      </c>
      <c r="T6" s="97">
        <f>Q6*(SIN(RADIANS(S6)))</f>
        <v>2.8164814814814818</v>
      </c>
      <c r="U6" s="100">
        <f>U5+T6</f>
        <v>11.272170889985688</v>
      </c>
      <c r="V6" s="93">
        <f t="shared" si="3"/>
        <v>7.1272878819970913</v>
      </c>
      <c r="W6" s="38">
        <f t="shared" si="4"/>
        <v>4495</v>
      </c>
      <c r="X6" s="38">
        <f t="shared" si="5"/>
        <v>179.60845181999997</v>
      </c>
      <c r="Y6" s="38">
        <f t="shared" si="6"/>
        <v>568.98</v>
      </c>
      <c r="Z6" s="38">
        <f t="shared" si="7"/>
        <v>882.44583333333344</v>
      </c>
      <c r="AA6" s="38">
        <f t="shared" si="8"/>
        <v>6126.0342851533333</v>
      </c>
      <c r="AB6" s="38">
        <f t="shared" si="1"/>
        <v>139060.97827298066</v>
      </c>
      <c r="AC6" s="38">
        <f t="shared" si="13"/>
        <v>8139.0217270193389</v>
      </c>
      <c r="AD6" s="127"/>
      <c r="AE6" s="127"/>
      <c r="AF6" s="69"/>
      <c r="AG6" s="69"/>
      <c r="AH6" s="69"/>
      <c r="AI6" s="69"/>
      <c r="AJ6" s="69"/>
      <c r="AK6" s="71"/>
      <c r="AL6" s="71"/>
      <c r="AM6" s="71"/>
      <c r="AN6" s="71"/>
      <c r="AO6" s="71"/>
      <c r="AP6" s="71"/>
      <c r="AQ6" s="71"/>
      <c r="AR6" s="71"/>
      <c r="AS6" s="71"/>
      <c r="AT6" s="71"/>
      <c r="AU6" s="71"/>
      <c r="AV6" s="69"/>
      <c r="AW6" s="118"/>
      <c r="AX6" s="118"/>
      <c r="AY6" s="118"/>
      <c r="AZ6" s="118"/>
      <c r="BA6" s="118"/>
      <c r="BB6" s="118"/>
      <c r="BC6" s="118"/>
      <c r="BD6" s="118"/>
      <c r="BE6" s="69"/>
      <c r="BF6" s="69"/>
      <c r="BG6" s="69"/>
      <c r="BH6" s="69"/>
      <c r="BI6" s="69"/>
      <c r="BJ6" s="69"/>
      <c r="BK6" s="69"/>
      <c r="BL6" s="69"/>
      <c r="BM6" s="69"/>
      <c r="BN6" s="69"/>
      <c r="BO6" s="69"/>
      <c r="BP6" s="69"/>
      <c r="BQ6" s="69"/>
      <c r="BR6" s="69"/>
      <c r="BS6" s="69"/>
      <c r="BT6" s="69"/>
      <c r="BU6" s="69"/>
      <c r="BV6" s="69"/>
      <c r="BW6" s="69"/>
      <c r="BX6" s="69"/>
      <c r="BY6" s="149"/>
      <c r="BZ6" s="141" t="s">
        <v>267</v>
      </c>
      <c r="CA6" s="126" t="s">
        <v>266</v>
      </c>
      <c r="CB6" s="166" t="s">
        <v>306</v>
      </c>
      <c r="CC6" s="164">
        <v>1900</v>
      </c>
      <c r="CD6" s="166" t="s">
        <v>306</v>
      </c>
      <c r="CE6" s="164">
        <v>150</v>
      </c>
      <c r="CF6" s="166" t="s">
        <v>306</v>
      </c>
      <c r="CG6" s="149" t="s">
        <v>275</v>
      </c>
      <c r="CH6" s="69"/>
      <c r="CI6" s="69"/>
      <c r="CJ6" s="69"/>
      <c r="CK6" s="69"/>
      <c r="CL6" s="69"/>
      <c r="CM6" s="69"/>
      <c r="CN6" s="69"/>
      <c r="CO6" s="69"/>
      <c r="CP6" s="69"/>
      <c r="CQ6" s="69"/>
      <c r="CR6" s="69"/>
      <c r="CS6" s="69"/>
      <c r="CT6" s="69"/>
      <c r="CU6" s="69"/>
      <c r="CV6" s="69"/>
      <c r="CW6" s="69"/>
    </row>
    <row r="7" spans="1:101" ht="19.5" x14ac:dyDescent="0.35">
      <c r="A7" s="69"/>
      <c r="B7" s="70"/>
      <c r="C7" s="41"/>
      <c r="D7" s="38" t="s">
        <v>75</v>
      </c>
      <c r="E7" s="40" t="s">
        <v>73</v>
      </c>
      <c r="F7" s="41"/>
      <c r="G7" s="105"/>
      <c r="H7" s="38"/>
      <c r="I7" s="108">
        <v>2</v>
      </c>
      <c r="J7" s="38">
        <v>2</v>
      </c>
      <c r="K7" s="38">
        <v>1</v>
      </c>
      <c r="L7" s="38">
        <v>5</v>
      </c>
      <c r="M7" s="103">
        <v>-1.9</v>
      </c>
      <c r="N7" s="38">
        <f t="shared" si="9"/>
        <v>-24.792849220330133</v>
      </c>
      <c r="O7" s="38">
        <f t="shared" si="14"/>
        <v>20.8</v>
      </c>
      <c r="P7" s="38">
        <f t="shared" si="2"/>
        <v>46.529600000000002</v>
      </c>
      <c r="Q7" s="38">
        <f t="shared" si="10"/>
        <v>20.8</v>
      </c>
      <c r="R7" s="93">
        <f t="shared" ref="R7:R34" si="15">Q7+R6</f>
        <v>74.899999999999991</v>
      </c>
      <c r="S7" s="103">
        <v>7.1272878819970913</v>
      </c>
      <c r="T7" s="97">
        <f t="shared" si="12"/>
        <v>2.5807407407407412</v>
      </c>
      <c r="U7" s="93">
        <f t="shared" ref="U7:U34" si="16">U6+T7</f>
        <v>13.852911630726428</v>
      </c>
      <c r="V7" s="93">
        <f t="shared" si="3"/>
        <v>7.1272878819970913</v>
      </c>
      <c r="W7" s="38">
        <f t="shared" si="4"/>
        <v>-1377.5</v>
      </c>
      <c r="X7" s="38">
        <f t="shared" si="5"/>
        <v>150.80013312</v>
      </c>
      <c r="Y7" s="38">
        <f t="shared" si="6"/>
        <v>568.98</v>
      </c>
      <c r="Z7" s="38">
        <f t="shared" si="7"/>
        <v>882.44583333333344</v>
      </c>
      <c r="AA7" s="38">
        <f t="shared" si="8"/>
        <v>224.72596645333351</v>
      </c>
      <c r="AB7" s="38">
        <f t="shared" si="1"/>
        <v>4674.3001022293374</v>
      </c>
      <c r="AC7" s="38">
        <f t="shared" si="13"/>
        <v>142525.69989777065</v>
      </c>
      <c r="AD7" s="127"/>
      <c r="AE7" s="127"/>
      <c r="AF7" s="69"/>
      <c r="AG7" s="69"/>
      <c r="AH7" s="69"/>
      <c r="AI7" s="69"/>
      <c r="AJ7" s="69"/>
      <c r="AK7" s="71"/>
      <c r="AL7" s="71"/>
      <c r="AM7" s="71"/>
      <c r="AN7" s="71"/>
      <c r="AO7" s="71"/>
      <c r="AP7" s="71"/>
      <c r="AQ7" s="71"/>
      <c r="AR7" s="71"/>
      <c r="AS7" s="71"/>
      <c r="AT7" s="71"/>
      <c r="AU7" s="71"/>
      <c r="AV7" s="69"/>
      <c r="AW7" s="119" t="s">
        <v>198</v>
      </c>
      <c r="AX7" s="116" t="s">
        <v>213</v>
      </c>
      <c r="AY7" s="116" t="s">
        <v>214</v>
      </c>
      <c r="AZ7" s="116" t="s">
        <v>215</v>
      </c>
      <c r="BA7" s="118"/>
      <c r="BB7" s="118"/>
      <c r="BC7" s="118"/>
      <c r="BD7" s="118"/>
      <c r="BE7" s="69"/>
      <c r="BF7" s="69"/>
      <c r="BG7" s="69"/>
      <c r="BH7" s="69"/>
      <c r="BI7" s="69"/>
      <c r="BJ7" s="69"/>
      <c r="BK7" s="69"/>
      <c r="BL7" s="69"/>
      <c r="BM7" s="69"/>
      <c r="BN7" s="69"/>
      <c r="BO7" s="69"/>
      <c r="BP7" s="69"/>
      <c r="BQ7" s="69"/>
      <c r="BR7" s="69"/>
      <c r="BS7" s="69"/>
      <c r="BT7" s="69"/>
      <c r="BU7" s="69"/>
      <c r="BV7" s="69"/>
      <c r="BW7" s="69"/>
      <c r="BX7" s="69"/>
      <c r="BY7" s="149"/>
      <c r="BZ7" s="142" t="s">
        <v>268</v>
      </c>
      <c r="CA7" s="140" t="s">
        <v>308</v>
      </c>
      <c r="CB7" s="166" t="s">
        <v>309</v>
      </c>
      <c r="CC7" s="170">
        <v>400</v>
      </c>
      <c r="CD7" s="166" t="s">
        <v>311</v>
      </c>
      <c r="CE7" s="164">
        <v>52</v>
      </c>
      <c r="CF7" s="164" t="s">
        <v>311</v>
      </c>
      <c r="CG7" s="149" t="s">
        <v>275</v>
      </c>
      <c r="CH7" s="69"/>
      <c r="CI7" s="69"/>
      <c r="CJ7" s="69"/>
      <c r="CK7" s="69"/>
      <c r="CL7" s="69"/>
      <c r="CM7" s="69"/>
      <c r="CN7" s="69"/>
      <c r="CO7" s="69"/>
      <c r="CP7" s="69"/>
      <c r="CQ7" s="69"/>
      <c r="CR7" s="69"/>
      <c r="CS7" s="69"/>
      <c r="CT7" s="69"/>
      <c r="CU7" s="69"/>
      <c r="CV7" s="69"/>
      <c r="CW7" s="69"/>
    </row>
    <row r="8" spans="1:101" ht="19.5" x14ac:dyDescent="0.35">
      <c r="A8" s="69"/>
      <c r="B8" s="70"/>
      <c r="C8" s="41"/>
      <c r="D8" s="38" t="s">
        <v>79</v>
      </c>
      <c r="E8" s="40" t="s">
        <v>76</v>
      </c>
      <c r="F8" s="41"/>
      <c r="G8" s="105"/>
      <c r="H8" s="38"/>
      <c r="I8" s="109">
        <v>2</v>
      </c>
      <c r="J8" s="38">
        <v>2</v>
      </c>
      <c r="K8" s="38">
        <v>1</v>
      </c>
      <c r="L8" s="38">
        <v>6</v>
      </c>
      <c r="M8" s="103">
        <v>-2.65</v>
      </c>
      <c r="N8" s="38">
        <f t="shared" si="9"/>
        <v>-34.579500228355187</v>
      </c>
      <c r="O8" s="38">
        <f t="shared" si="14"/>
        <v>18.150000000000002</v>
      </c>
      <c r="P8" s="38">
        <f t="shared" si="2"/>
        <v>40.601550000000003</v>
      </c>
      <c r="Q8" s="38">
        <f t="shared" si="10"/>
        <v>18.150000000000002</v>
      </c>
      <c r="R8" s="93">
        <f t="shared" si="15"/>
        <v>93.05</v>
      </c>
      <c r="S8" s="103">
        <v>7.1272878819970913</v>
      </c>
      <c r="T8" s="97">
        <f t="shared" si="12"/>
        <v>2.2519444444444447</v>
      </c>
      <c r="U8" s="93">
        <f t="shared" si="16"/>
        <v>16.104856075170872</v>
      </c>
      <c r="V8" s="93">
        <f t="shared" si="3"/>
        <v>7.1272878819970913</v>
      </c>
      <c r="W8" s="38">
        <f>$E$6*M8</f>
        <v>-1921.25</v>
      </c>
      <c r="X8" s="38">
        <f t="shared" si="5"/>
        <v>114.82284775500001</v>
      </c>
      <c r="Y8" s="38">
        <f t="shared" si="6"/>
        <v>568.98</v>
      </c>
      <c r="Z8" s="38">
        <f t="shared" si="7"/>
        <v>882.44583333333344</v>
      </c>
      <c r="AA8" s="38">
        <f t="shared" si="8"/>
        <v>-355.00131891166666</v>
      </c>
      <c r="AB8" s="38">
        <f t="shared" si="1"/>
        <v>-6443.2739382467507</v>
      </c>
      <c r="AC8" s="38">
        <f t="shared" si="13"/>
        <v>153643.27393824674</v>
      </c>
      <c r="AD8" s="127"/>
      <c r="AE8" s="127"/>
      <c r="AF8" s="69"/>
      <c r="AG8" s="69"/>
      <c r="AH8" s="69"/>
      <c r="AI8" s="69"/>
      <c r="AJ8" s="69"/>
      <c r="AK8" s="71"/>
      <c r="AL8" s="71"/>
      <c r="AM8" s="71"/>
      <c r="AN8" s="71"/>
      <c r="AO8" s="71"/>
      <c r="AP8" s="71"/>
      <c r="AQ8" s="71"/>
      <c r="AR8" s="71"/>
      <c r="AS8" s="71"/>
      <c r="AT8" s="71"/>
      <c r="AU8" s="71"/>
      <c r="AV8" s="69"/>
      <c r="AW8" s="118"/>
      <c r="AX8" s="48">
        <v>6500</v>
      </c>
      <c r="AY8" s="48">
        <v>150</v>
      </c>
      <c r="AZ8" s="48">
        <v>94</v>
      </c>
      <c r="BA8" s="118"/>
      <c r="BB8" s="118"/>
      <c r="BC8" s="118"/>
      <c r="BD8" s="118"/>
      <c r="BE8" s="69"/>
      <c r="BF8" s="69"/>
      <c r="BG8" s="69"/>
      <c r="BH8" s="69"/>
      <c r="BI8" s="69"/>
      <c r="BJ8" s="69"/>
      <c r="BK8" s="69"/>
      <c r="BL8" s="69"/>
      <c r="BM8" s="69"/>
      <c r="BN8" s="69"/>
      <c r="BO8" s="69"/>
      <c r="BP8" s="69"/>
      <c r="BQ8" s="69"/>
      <c r="BR8" s="69"/>
      <c r="BS8" s="69"/>
      <c r="BT8" s="69"/>
      <c r="BU8" s="69"/>
      <c r="BV8" s="69"/>
      <c r="BW8" s="69"/>
      <c r="BX8" s="69"/>
      <c r="BY8" s="149"/>
      <c r="BZ8" s="143" t="s">
        <v>272</v>
      </c>
      <c r="CA8" s="38" t="s">
        <v>271</v>
      </c>
      <c r="CB8" s="169" t="s">
        <v>310</v>
      </c>
      <c r="CC8" s="165">
        <v>2500</v>
      </c>
      <c r="CD8" s="171" t="s">
        <v>311</v>
      </c>
      <c r="CE8" s="165">
        <v>107</v>
      </c>
      <c r="CF8" s="167" t="s">
        <v>313</v>
      </c>
      <c r="CG8" s="149" t="s">
        <v>275</v>
      </c>
      <c r="CH8" s="69"/>
      <c r="CI8" s="69"/>
      <c r="CJ8" s="69"/>
      <c r="CK8" s="69"/>
      <c r="CL8" s="69"/>
      <c r="CM8" s="69"/>
      <c r="CN8" s="69"/>
      <c r="CO8" s="69"/>
      <c r="CP8" s="69"/>
      <c r="CQ8" s="69"/>
      <c r="CR8" s="69"/>
      <c r="CS8" s="69"/>
      <c r="CT8" s="69"/>
      <c r="CU8" s="69"/>
      <c r="CV8" s="69"/>
      <c r="CW8" s="69"/>
    </row>
    <row r="9" spans="1:101" ht="19.5" x14ac:dyDescent="0.35">
      <c r="A9" s="69"/>
      <c r="B9" s="70"/>
      <c r="C9" s="41"/>
      <c r="D9" s="38" t="s">
        <v>80</v>
      </c>
      <c r="E9" s="40" t="s">
        <v>77</v>
      </c>
      <c r="F9" s="41"/>
      <c r="G9" s="105"/>
      <c r="H9" s="38"/>
      <c r="I9" s="109">
        <v>2</v>
      </c>
      <c r="J9" s="38">
        <v>1</v>
      </c>
      <c r="K9" s="38">
        <v>1</v>
      </c>
      <c r="L9" s="38">
        <v>7</v>
      </c>
      <c r="M9" s="103">
        <v>-3.33</v>
      </c>
      <c r="N9" s="38">
        <f t="shared" si="9"/>
        <v>-43.452730475631242</v>
      </c>
      <c r="O9" s="38">
        <f t="shared" si="14"/>
        <v>14.820000000000002</v>
      </c>
      <c r="P9" s="38">
        <f t="shared" si="2"/>
        <v>33.152340000000009</v>
      </c>
      <c r="Q9" s="38">
        <f t="shared" si="10"/>
        <v>14.820000000000002</v>
      </c>
      <c r="R9" s="93">
        <f t="shared" si="15"/>
        <v>107.87</v>
      </c>
      <c r="S9" s="103">
        <v>7.1272878819970913</v>
      </c>
      <c r="T9" s="97">
        <f t="shared" si="12"/>
        <v>1.8387777777777783</v>
      </c>
      <c r="U9" s="93">
        <f t="shared" si="16"/>
        <v>17.943633852948651</v>
      </c>
      <c r="V9" s="93">
        <f t="shared" si="3"/>
        <v>7.1272878819970913</v>
      </c>
      <c r="W9" s="38">
        <f t="shared" si="4"/>
        <v>-2414.25</v>
      </c>
      <c r="X9" s="38">
        <f>0.5*$B$3*$E$14*$E$13*O9^2</f>
        <v>76.554630079200024</v>
      </c>
      <c r="Y9" s="38">
        <f t="shared" si="6"/>
        <v>568.98</v>
      </c>
      <c r="Z9" s="38">
        <f t="shared" si="7"/>
        <v>882.44583333333344</v>
      </c>
      <c r="AA9" s="38">
        <f t="shared" si="8"/>
        <v>-886.26953658746652</v>
      </c>
      <c r="AB9" s="38">
        <f t="shared" si="1"/>
        <v>-13134.514532226256</v>
      </c>
      <c r="AC9" s="38">
        <f t="shared" si="13"/>
        <v>160334.51453222625</v>
      </c>
      <c r="AD9" s="127"/>
      <c r="AE9" s="127"/>
      <c r="AF9" s="69"/>
      <c r="AG9" s="69"/>
      <c r="AH9" s="69"/>
      <c r="AI9" s="69"/>
      <c r="AJ9" s="69"/>
      <c r="AK9" s="71"/>
      <c r="AL9" s="71"/>
      <c r="AM9" s="71"/>
      <c r="AN9" s="71"/>
      <c r="AO9" s="71"/>
      <c r="AP9" s="71"/>
      <c r="AQ9" s="71"/>
      <c r="AR9" s="71"/>
      <c r="AS9" s="71"/>
      <c r="AT9" s="71"/>
      <c r="AU9" s="71"/>
      <c r="AV9" s="69"/>
      <c r="AW9" s="118"/>
      <c r="AX9" s="118"/>
      <c r="AY9" s="118"/>
      <c r="AZ9" s="118"/>
      <c r="BA9" s="118"/>
      <c r="BB9" s="118"/>
      <c r="BC9" s="118"/>
      <c r="BD9" s="118"/>
      <c r="BE9" s="69"/>
      <c r="BF9" s="69"/>
      <c r="BG9" s="69"/>
      <c r="BH9" s="69"/>
      <c r="BI9" s="69"/>
      <c r="BJ9" s="69"/>
      <c r="BK9" s="69"/>
      <c r="BL9" s="69"/>
      <c r="BM9" s="69"/>
      <c r="BN9" s="69"/>
      <c r="BO9" s="69"/>
      <c r="BP9" s="69"/>
      <c r="BQ9" s="69"/>
      <c r="BR9" s="69"/>
      <c r="BS9" s="69"/>
      <c r="BT9" s="69"/>
      <c r="BU9" s="69"/>
      <c r="BV9" s="69"/>
      <c r="BW9" s="69"/>
      <c r="BX9" s="69"/>
      <c r="BY9" s="149"/>
      <c r="BZ9" s="143" t="s">
        <v>279</v>
      </c>
      <c r="CA9" s="38" t="s">
        <v>280</v>
      </c>
      <c r="CB9" s="169" t="s">
        <v>307</v>
      </c>
      <c r="CC9" s="165">
        <v>7700</v>
      </c>
      <c r="CD9" s="169" t="s">
        <v>307</v>
      </c>
      <c r="CE9" s="165">
        <v>39</v>
      </c>
      <c r="CF9" s="167" t="s">
        <v>307</v>
      </c>
      <c r="CG9" s="149" t="s">
        <v>275</v>
      </c>
      <c r="CH9" s="69"/>
      <c r="CI9" s="69"/>
      <c r="CJ9" s="69"/>
      <c r="CK9" s="69"/>
      <c r="CL9" s="69"/>
      <c r="CM9" s="69"/>
      <c r="CN9" s="69"/>
      <c r="CO9" s="69"/>
      <c r="CP9" s="69"/>
      <c r="CQ9" s="69"/>
      <c r="CR9" s="69"/>
      <c r="CS9" s="69"/>
      <c r="CT9" s="69"/>
      <c r="CU9" s="69"/>
      <c r="CV9" s="69"/>
      <c r="CW9" s="69"/>
    </row>
    <row r="10" spans="1:101" ht="19.5" x14ac:dyDescent="0.35">
      <c r="A10" s="69"/>
      <c r="B10" s="70"/>
      <c r="C10" s="41"/>
      <c r="D10" s="38" t="s">
        <v>81</v>
      </c>
      <c r="E10" s="40" t="s">
        <v>78</v>
      </c>
      <c r="F10" s="41"/>
      <c r="G10" s="105"/>
      <c r="H10" s="38"/>
      <c r="I10" s="109">
        <v>3</v>
      </c>
      <c r="J10" s="38">
        <v>1</v>
      </c>
      <c r="K10" s="38">
        <v>1</v>
      </c>
      <c r="L10" s="98">
        <v>8</v>
      </c>
      <c r="M10" s="103">
        <v>-2.72</v>
      </c>
      <c r="N10" s="38">
        <f t="shared" si="9"/>
        <v>-35.492920989104199</v>
      </c>
      <c r="O10" s="38">
        <f t="shared" si="14"/>
        <v>12.100000000000001</v>
      </c>
      <c r="P10" s="38">
        <f t="shared" si="2"/>
        <v>27.067700000000006</v>
      </c>
      <c r="Q10" s="38">
        <f t="shared" si="10"/>
        <v>12.100000000000001</v>
      </c>
      <c r="R10" s="100">
        <f t="shared" si="15"/>
        <v>119.97</v>
      </c>
      <c r="S10" s="103">
        <v>4.1706479118615389</v>
      </c>
      <c r="T10" s="97">
        <f t="shared" si="12"/>
        <v>0.88000000000000012</v>
      </c>
      <c r="U10" s="100">
        <f t="shared" si="16"/>
        <v>18.82363385294865</v>
      </c>
      <c r="V10" s="93">
        <f t="shared" si="3"/>
        <v>4.1706479118615389</v>
      </c>
      <c r="W10" s="38">
        <f t="shared" si="4"/>
        <v>-1972.0000000000002</v>
      </c>
      <c r="X10" s="38">
        <f t="shared" si="5"/>
        <v>51.032376780000007</v>
      </c>
      <c r="Y10" s="38">
        <f t="shared" si="6"/>
        <v>568.98</v>
      </c>
      <c r="Z10" s="38">
        <f t="shared" si="7"/>
        <v>517.25454545454545</v>
      </c>
      <c r="AA10" s="38">
        <f t="shared" si="8"/>
        <v>-834.73307776545471</v>
      </c>
      <c r="AB10" s="38">
        <f t="shared" si="1"/>
        <v>-10100.270240962003</v>
      </c>
      <c r="AC10" s="38">
        <f t="shared" si="13"/>
        <v>157300.27024096201</v>
      </c>
      <c r="AD10" s="127"/>
      <c r="AE10" s="127"/>
      <c r="AF10" s="69"/>
      <c r="AG10" s="69"/>
      <c r="AH10" s="69"/>
      <c r="AI10" s="69"/>
      <c r="AJ10" s="69"/>
      <c r="AK10" s="71"/>
      <c r="AL10" s="71"/>
      <c r="AM10" s="71"/>
      <c r="AN10" s="71"/>
      <c r="AO10" s="71"/>
      <c r="AP10" s="71"/>
      <c r="AQ10" s="71"/>
      <c r="AR10" s="71"/>
      <c r="AS10" s="71"/>
      <c r="AT10" s="71"/>
      <c r="AU10" s="71"/>
      <c r="AV10" s="69"/>
      <c r="AW10" s="118"/>
      <c r="AX10" s="116" t="s">
        <v>216</v>
      </c>
      <c r="AY10" s="118"/>
      <c r="AZ10" s="118"/>
      <c r="BA10" s="118"/>
      <c r="BB10" s="118"/>
      <c r="BC10" s="118"/>
      <c r="BD10" s="118"/>
      <c r="BE10" s="69"/>
      <c r="BF10" s="69"/>
      <c r="BG10" s="69"/>
      <c r="BH10" s="69"/>
      <c r="BI10" s="69"/>
      <c r="BJ10" s="69"/>
      <c r="BK10" s="69"/>
      <c r="BL10" s="69"/>
      <c r="BM10" s="69"/>
      <c r="BN10" s="69"/>
      <c r="BO10" s="69"/>
      <c r="BP10" s="69"/>
      <c r="BQ10" s="69"/>
      <c r="BR10" s="69"/>
      <c r="BS10" s="69"/>
      <c r="BT10" s="69"/>
      <c r="BU10" s="69"/>
      <c r="BV10" s="69"/>
      <c r="BW10" s="69"/>
      <c r="BX10" s="69"/>
      <c r="BY10" s="149"/>
      <c r="BZ10" s="149"/>
      <c r="CA10" s="149"/>
      <c r="CB10" s="149"/>
      <c r="CC10" s="145">
        <f>SUM(CC3:CC7)</f>
        <v>26500</v>
      </c>
      <c r="CD10" s="168"/>
      <c r="CE10" s="145">
        <f t="shared" ref="CD10:CE10" si="17">SUM(CE3:CE7)</f>
        <v>278.60000000000002</v>
      </c>
      <c r="CF10" s="149"/>
      <c r="CG10" s="149"/>
      <c r="CH10" s="69"/>
      <c r="CI10" s="69"/>
      <c r="CJ10" s="69"/>
      <c r="CK10" s="69"/>
      <c r="CL10" s="69"/>
      <c r="CM10" s="69"/>
      <c r="CN10" s="69"/>
      <c r="CO10" s="69"/>
      <c r="CP10" s="69"/>
      <c r="CQ10" s="69"/>
      <c r="CR10" s="69"/>
      <c r="CS10" s="69"/>
      <c r="CT10" s="69"/>
      <c r="CU10" s="69"/>
      <c r="CV10" s="69"/>
      <c r="CW10" s="69"/>
    </row>
    <row r="11" spans="1:101" ht="19.5" x14ac:dyDescent="0.35">
      <c r="A11" s="69"/>
      <c r="B11" s="70"/>
      <c r="C11" s="41"/>
      <c r="D11" s="38" t="s">
        <v>82</v>
      </c>
      <c r="E11" s="40" t="s">
        <v>85</v>
      </c>
      <c r="F11" s="41"/>
      <c r="G11" s="105"/>
      <c r="H11" s="38"/>
      <c r="I11" s="109">
        <v>3</v>
      </c>
      <c r="J11" s="38">
        <v>1</v>
      </c>
      <c r="K11" s="38">
        <v>1</v>
      </c>
      <c r="L11" s="38">
        <v>9</v>
      </c>
      <c r="M11" s="103">
        <v>-0.9</v>
      </c>
      <c r="N11" s="38">
        <f t="shared" si="9"/>
        <v>-11.743981209630066</v>
      </c>
      <c r="O11" s="38">
        <f t="shared" si="14"/>
        <v>11.200000000000001</v>
      </c>
      <c r="P11" s="38">
        <f t="shared" si="2"/>
        <v>25.054400000000005</v>
      </c>
      <c r="Q11" s="38">
        <f t="shared" si="10"/>
        <v>11.200000000000001</v>
      </c>
      <c r="R11" s="93">
        <f t="shared" si="15"/>
        <v>131.16999999999999</v>
      </c>
      <c r="S11" s="103">
        <v>4.1706479118615389</v>
      </c>
      <c r="T11" s="97">
        <f t="shared" si="12"/>
        <v>0.81454545454545457</v>
      </c>
      <c r="U11" s="93">
        <f t="shared" si="16"/>
        <v>19.638179307494106</v>
      </c>
      <c r="V11" s="93">
        <f t="shared" si="3"/>
        <v>4.1706479118615389</v>
      </c>
      <c r="W11" s="38">
        <f t="shared" si="4"/>
        <v>-652.5</v>
      </c>
      <c r="X11" s="38">
        <f t="shared" si="5"/>
        <v>43.723115520000007</v>
      </c>
      <c r="Y11" s="38">
        <f t="shared" si="6"/>
        <v>568.98</v>
      </c>
      <c r="Z11" s="38">
        <f t="shared" si="7"/>
        <v>517.25454545454545</v>
      </c>
      <c r="AA11" s="38">
        <f t="shared" si="8"/>
        <v>477.45766097454543</v>
      </c>
      <c r="AB11" s="38">
        <f t="shared" si="1"/>
        <v>5347.525802914909</v>
      </c>
      <c r="AC11" s="38">
        <f t="shared" si="13"/>
        <v>141852.4741970851</v>
      </c>
      <c r="AD11" s="127"/>
      <c r="AE11" s="127"/>
      <c r="AF11" s="69"/>
      <c r="AG11" s="69"/>
      <c r="AH11" s="69"/>
      <c r="AI11" s="69"/>
      <c r="AJ11" s="69"/>
      <c r="AK11" s="71"/>
      <c r="AL11" s="71"/>
      <c r="AM11" s="71"/>
      <c r="AN11" s="71"/>
      <c r="AO11" s="71"/>
      <c r="AP11" s="71"/>
      <c r="AQ11" s="71"/>
      <c r="AR11" s="71"/>
      <c r="AS11" s="71"/>
      <c r="AT11" s="71"/>
      <c r="AU11" s="71"/>
      <c r="AV11" s="69"/>
      <c r="AW11" s="118"/>
      <c r="AX11" s="48">
        <f>AX8/BB5</f>
        <v>9.4361729178998903</v>
      </c>
      <c r="AY11" s="118"/>
      <c r="AZ11" s="118"/>
      <c r="BA11" s="118"/>
      <c r="BB11" s="118"/>
      <c r="BC11" s="118"/>
      <c r="BD11" s="118"/>
      <c r="BE11" s="69"/>
      <c r="BF11" s="69"/>
      <c r="BG11" s="69"/>
      <c r="BH11" s="69"/>
      <c r="BI11" s="69"/>
      <c r="BJ11" s="69"/>
      <c r="BK11" s="69"/>
      <c r="BL11" s="69"/>
      <c r="BM11" s="69"/>
      <c r="BN11" s="69"/>
      <c r="BO11" s="69"/>
      <c r="BP11" s="69"/>
      <c r="BQ11" s="69"/>
      <c r="BR11" s="69"/>
      <c r="BS11" s="69"/>
      <c r="BT11" s="69"/>
      <c r="BU11" s="69"/>
      <c r="BV11" s="69"/>
      <c r="BW11" s="69"/>
      <c r="BX11" s="69"/>
      <c r="BY11" s="149"/>
      <c r="BZ11" s="149"/>
      <c r="CA11" s="149"/>
      <c r="CB11" s="149"/>
      <c r="CC11" s="147">
        <f>CC10-SUM(CC8:CC9)</f>
        <v>16300</v>
      </c>
      <c r="CD11" s="168"/>
      <c r="CE11" s="147">
        <f t="shared" ref="CD11:CE11" si="18">CE10-SUM(CE8:CE9)</f>
        <v>132.60000000000002</v>
      </c>
      <c r="CF11" s="149"/>
      <c r="CG11" s="149"/>
      <c r="CH11" s="69"/>
      <c r="CI11" s="69"/>
      <c r="CJ11" s="69"/>
      <c r="CK11" s="69"/>
      <c r="CL11" s="69"/>
      <c r="CM11" s="69"/>
      <c r="CN11" s="69"/>
      <c r="CO11" s="69"/>
      <c r="CP11" s="69"/>
      <c r="CQ11" s="69"/>
      <c r="CR11" s="69"/>
      <c r="CS11" s="69"/>
      <c r="CT11" s="69"/>
      <c r="CU11" s="69"/>
      <c r="CV11" s="69"/>
      <c r="CW11" s="69"/>
    </row>
    <row r="12" spans="1:101" ht="19.5" x14ac:dyDescent="0.35">
      <c r="A12" s="69"/>
      <c r="B12" s="70"/>
      <c r="C12" s="41"/>
      <c r="D12" s="38" t="s">
        <v>83</v>
      </c>
      <c r="E12" s="40" t="s">
        <v>84</v>
      </c>
      <c r="F12" s="80"/>
      <c r="G12" s="105"/>
      <c r="H12" s="38"/>
      <c r="I12" s="109">
        <v>3</v>
      </c>
      <c r="J12" s="38">
        <v>1</v>
      </c>
      <c r="K12" s="38">
        <v>1</v>
      </c>
      <c r="L12" s="38">
        <v>10</v>
      </c>
      <c r="M12" s="103">
        <v>-0.64</v>
      </c>
      <c r="N12" s="38">
        <f t="shared" si="9"/>
        <v>-8.3512755268480472</v>
      </c>
      <c r="O12" s="38">
        <f t="shared" si="14"/>
        <v>10.56</v>
      </c>
      <c r="P12" s="38">
        <f t="shared" si="2"/>
        <v>23.622720000000001</v>
      </c>
      <c r="Q12" s="38">
        <f t="shared" si="10"/>
        <v>10.56</v>
      </c>
      <c r="R12" s="93">
        <f t="shared" si="15"/>
        <v>141.72999999999999</v>
      </c>
      <c r="S12" s="103">
        <v>4.1706479118615389</v>
      </c>
      <c r="T12" s="97">
        <f t="shared" si="12"/>
        <v>0.76800000000000002</v>
      </c>
      <c r="U12" s="93">
        <f t="shared" si="16"/>
        <v>20.406179307494106</v>
      </c>
      <c r="V12" s="93">
        <f t="shared" si="3"/>
        <v>4.1706479118615389</v>
      </c>
      <c r="W12" s="38">
        <f t="shared" si="4"/>
        <v>-464</v>
      </c>
      <c r="X12" s="38">
        <f t="shared" si="5"/>
        <v>38.868957388799998</v>
      </c>
      <c r="Y12" s="38">
        <f t="shared" si="6"/>
        <v>568.98</v>
      </c>
      <c r="Z12" s="38">
        <f t="shared" si="7"/>
        <v>517.25454545454545</v>
      </c>
      <c r="AA12" s="38">
        <f t="shared" si="8"/>
        <v>661.1035028433455</v>
      </c>
      <c r="AB12" s="38">
        <f t="shared" si="1"/>
        <v>6981.2529900257286</v>
      </c>
      <c r="AC12" s="38">
        <f t="shared" si="13"/>
        <v>140218.74700997426</v>
      </c>
      <c r="AD12" s="127"/>
      <c r="AE12" s="127"/>
      <c r="AF12" s="69"/>
      <c r="AG12" s="69"/>
      <c r="AH12" s="69"/>
      <c r="AI12" s="69"/>
      <c r="AJ12" s="69"/>
      <c r="AK12" s="71"/>
      <c r="AL12" s="71"/>
      <c r="AM12" s="71"/>
      <c r="AN12" s="71"/>
      <c r="AO12" s="71"/>
      <c r="AP12" s="71"/>
      <c r="AQ12" s="71"/>
      <c r="AR12" s="71"/>
      <c r="AS12" s="71"/>
      <c r="AT12" s="71"/>
      <c r="AU12" s="71"/>
      <c r="AV12" s="69"/>
      <c r="AW12" s="117"/>
      <c r="AX12" s="117"/>
      <c r="AY12" s="117"/>
      <c r="AZ12" s="117"/>
      <c r="BA12" s="117"/>
      <c r="BB12" s="117"/>
      <c r="BC12" s="118"/>
      <c r="BD12" s="118"/>
      <c r="BE12" s="69"/>
      <c r="BF12" s="69"/>
      <c r="BG12" s="69"/>
      <c r="BH12" s="69"/>
      <c r="BI12" s="69"/>
      <c r="BJ12" s="69"/>
      <c r="BK12" s="69"/>
      <c r="BL12" s="69"/>
      <c r="BM12" s="69"/>
      <c r="BN12" s="69"/>
      <c r="BO12" s="69"/>
      <c r="BP12" s="69"/>
      <c r="BQ12" s="69"/>
      <c r="BR12" s="69"/>
      <c r="BS12" s="69"/>
      <c r="BT12" s="69"/>
      <c r="BU12" s="69"/>
      <c r="BV12" s="69"/>
      <c r="BW12" s="69"/>
      <c r="BX12" s="69"/>
      <c r="BY12" s="149"/>
      <c r="BZ12" s="149"/>
      <c r="CA12" s="149"/>
      <c r="CB12" s="149"/>
      <c r="CC12" s="149"/>
      <c r="CD12" s="149"/>
      <c r="CE12" s="149"/>
      <c r="CF12" s="149"/>
      <c r="CG12" s="149"/>
      <c r="CH12" s="69"/>
      <c r="CI12" s="69"/>
      <c r="CJ12" s="69"/>
      <c r="CK12" s="69"/>
      <c r="CL12" s="69"/>
      <c r="CM12" s="69"/>
      <c r="CN12" s="69"/>
      <c r="CO12" s="69"/>
      <c r="CP12" s="69"/>
      <c r="CQ12" s="69"/>
      <c r="CR12" s="69"/>
      <c r="CS12" s="69"/>
      <c r="CT12" s="69"/>
      <c r="CU12" s="69"/>
      <c r="CV12" s="69"/>
      <c r="CW12" s="69"/>
    </row>
    <row r="13" spans="1:101" ht="19.5" x14ac:dyDescent="0.35">
      <c r="A13" s="69"/>
      <c r="B13" s="70"/>
      <c r="C13" s="41"/>
      <c r="D13" s="38" t="s">
        <v>149</v>
      </c>
      <c r="E13" s="51">
        <v>1.6597999999999999</v>
      </c>
      <c r="F13" s="81"/>
      <c r="G13" s="105"/>
      <c r="H13" s="38"/>
      <c r="I13" s="109">
        <v>3</v>
      </c>
      <c r="J13" s="38">
        <v>1</v>
      </c>
      <c r="K13" s="38">
        <v>1</v>
      </c>
      <c r="L13" s="38">
        <v>11</v>
      </c>
      <c r="M13" s="103">
        <v>-0.34</v>
      </c>
      <c r="N13" s="38">
        <f t="shared" si="9"/>
        <v>-4.4366151236380249</v>
      </c>
      <c r="O13" s="38">
        <f t="shared" si="14"/>
        <v>10.220000000000001</v>
      </c>
      <c r="P13" s="38">
        <f t="shared" si="2"/>
        <v>22.862140000000004</v>
      </c>
      <c r="Q13" s="38">
        <f t="shared" si="10"/>
        <v>10.220000000000001</v>
      </c>
      <c r="R13" s="93">
        <f t="shared" si="15"/>
        <v>151.94999999999999</v>
      </c>
      <c r="S13" s="103">
        <v>4.1706479118615389</v>
      </c>
      <c r="T13" s="97">
        <f t="shared" si="12"/>
        <v>0.74327272727272731</v>
      </c>
      <c r="U13" s="93">
        <f t="shared" si="16"/>
        <v>21.149452034766835</v>
      </c>
      <c r="V13" s="93">
        <f t="shared" si="3"/>
        <v>4.1706479118615389</v>
      </c>
      <c r="W13" s="38">
        <f t="shared" si="4"/>
        <v>-246.50000000000003</v>
      </c>
      <c r="X13" s="38">
        <f t="shared" si="5"/>
        <v>36.406325407200001</v>
      </c>
      <c r="Y13" s="38">
        <f t="shared" si="6"/>
        <v>568.98</v>
      </c>
      <c r="Z13" s="38">
        <f t="shared" si="7"/>
        <v>517.25454545454545</v>
      </c>
      <c r="AA13" s="38">
        <f t="shared" si="8"/>
        <v>876.1408708617455</v>
      </c>
      <c r="AB13" s="38">
        <f t="shared" si="1"/>
        <v>8954.1597002070394</v>
      </c>
      <c r="AC13" s="38">
        <f t="shared" si="13"/>
        <v>138245.84029979297</v>
      </c>
      <c r="AD13" s="127"/>
      <c r="AE13" s="127"/>
      <c r="AF13" s="69"/>
      <c r="AG13" s="69"/>
      <c r="AH13" s="69"/>
      <c r="AI13" s="69"/>
      <c r="AJ13" s="69"/>
      <c r="AK13" s="71"/>
      <c r="AL13" s="71"/>
      <c r="AM13" s="71"/>
      <c r="AN13" s="71"/>
      <c r="AO13" s="71"/>
      <c r="AP13" s="71"/>
      <c r="AQ13" s="71"/>
      <c r="AR13" s="71"/>
      <c r="AS13" s="71"/>
      <c r="AT13" s="71"/>
      <c r="AU13" s="71"/>
      <c r="AV13" s="69"/>
      <c r="AW13" s="117"/>
      <c r="AX13" s="117"/>
      <c r="AY13" s="117"/>
      <c r="AZ13" s="117"/>
      <c r="BA13" s="118"/>
      <c r="BB13" s="118"/>
      <c r="BC13" s="118"/>
      <c r="BD13" s="118"/>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c r="CT13" s="69"/>
      <c r="CU13" s="69"/>
      <c r="CV13" s="69"/>
      <c r="CW13" s="69"/>
    </row>
    <row r="14" spans="1:101" ht="19.5" x14ac:dyDescent="0.35">
      <c r="A14" s="69"/>
      <c r="B14" s="70"/>
      <c r="C14" s="41"/>
      <c r="D14" s="38" t="s">
        <v>90</v>
      </c>
      <c r="E14" s="52">
        <v>0.35</v>
      </c>
      <c r="F14" s="41"/>
      <c r="G14" s="106"/>
      <c r="H14" s="38"/>
      <c r="I14" s="109">
        <v>4</v>
      </c>
      <c r="J14" s="38">
        <v>1</v>
      </c>
      <c r="K14" s="38">
        <v>1</v>
      </c>
      <c r="L14" s="98">
        <v>12</v>
      </c>
      <c r="M14" s="103">
        <v>-0.33</v>
      </c>
      <c r="N14" s="38">
        <f t="shared" si="9"/>
        <v>-4.3061264435310243</v>
      </c>
      <c r="O14" s="38">
        <f t="shared" si="14"/>
        <v>9.89</v>
      </c>
      <c r="P14" s="38">
        <f t="shared" si="2"/>
        <v>22.123930000000001</v>
      </c>
      <c r="Q14" s="38">
        <f t="shared" si="10"/>
        <v>9.89</v>
      </c>
      <c r="R14" s="100">
        <f>Q14+R13</f>
        <v>161.83999999999997</v>
      </c>
      <c r="S14" s="103">
        <v>-3.9592874494513626</v>
      </c>
      <c r="T14" s="97">
        <f t="shared" si="12"/>
        <v>-0.68288095238095248</v>
      </c>
      <c r="U14" s="100">
        <f t="shared" si="16"/>
        <v>20.466571082385883</v>
      </c>
      <c r="V14" s="93">
        <f t="shared" si="3"/>
        <v>-3.9592874494513626</v>
      </c>
      <c r="W14" s="38">
        <f t="shared" si="4"/>
        <v>-239.25</v>
      </c>
      <c r="X14" s="38">
        <f t="shared" si="5"/>
        <v>34.093189951800007</v>
      </c>
      <c r="Y14" s="38">
        <f t="shared" si="6"/>
        <v>568.98</v>
      </c>
      <c r="Z14" s="38">
        <f t="shared" si="7"/>
        <v>-491.0839285714286</v>
      </c>
      <c r="AA14" s="38">
        <f t="shared" si="8"/>
        <v>-127.26073861962857</v>
      </c>
      <c r="AB14" s="38">
        <f t="shared" si="1"/>
        <v>-1258.6087049481266</v>
      </c>
      <c r="AC14" s="38">
        <f t="shared" si="13"/>
        <v>148458.60870494813</v>
      </c>
      <c r="AD14" s="127"/>
      <c r="AE14" s="127"/>
      <c r="AF14" s="69"/>
      <c r="AG14" s="69"/>
      <c r="AH14" s="69"/>
      <c r="AI14" s="69"/>
      <c r="AJ14" s="69"/>
      <c r="AK14" s="71"/>
      <c r="AL14" s="71"/>
      <c r="AM14" s="71"/>
      <c r="AN14" s="71"/>
      <c r="AO14" s="71"/>
      <c r="AP14" s="71"/>
      <c r="AQ14" s="71"/>
      <c r="AR14" s="71"/>
      <c r="AS14" s="71"/>
      <c r="AT14" s="71"/>
      <c r="AU14" s="71"/>
      <c r="AV14" s="69"/>
      <c r="AW14" s="120" t="s">
        <v>222</v>
      </c>
      <c r="AX14" s="120" t="s">
        <v>224</v>
      </c>
      <c r="AY14" s="120" t="s">
        <v>225</v>
      </c>
      <c r="AZ14" s="120" t="s">
        <v>227</v>
      </c>
      <c r="BA14" s="120" t="s">
        <v>215</v>
      </c>
      <c r="BB14" s="120" t="s">
        <v>228</v>
      </c>
      <c r="BC14" s="118"/>
      <c r="BD14" s="118"/>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c r="CF14" s="69"/>
      <c r="CG14" s="69"/>
      <c r="CH14" s="69"/>
      <c r="CI14" s="69"/>
      <c r="CJ14" s="69"/>
      <c r="CK14" s="69"/>
      <c r="CL14" s="69"/>
      <c r="CM14" s="69"/>
      <c r="CN14" s="69"/>
      <c r="CO14" s="69"/>
      <c r="CP14" s="69"/>
      <c r="CQ14" s="69"/>
      <c r="CR14" s="69"/>
      <c r="CS14" s="69"/>
      <c r="CT14" s="69"/>
      <c r="CU14" s="69"/>
      <c r="CV14" s="69"/>
      <c r="CW14" s="69"/>
    </row>
    <row r="15" spans="1:101" ht="19.5" x14ac:dyDescent="0.35">
      <c r="A15" s="71"/>
      <c r="B15" s="72"/>
      <c r="C15" s="41"/>
      <c r="D15" s="38" t="s">
        <v>125</v>
      </c>
      <c r="E15" s="40" t="s">
        <v>126</v>
      </c>
      <c r="F15" s="41"/>
      <c r="G15" s="106"/>
      <c r="H15" s="38"/>
      <c r="I15" s="109">
        <v>4</v>
      </c>
      <c r="J15" s="38">
        <v>1</v>
      </c>
      <c r="K15" s="38">
        <v>1</v>
      </c>
      <c r="L15" s="38">
        <v>13</v>
      </c>
      <c r="M15" s="103">
        <v>-2.5</v>
      </c>
      <c r="N15" s="38">
        <f t="shared" si="9"/>
        <v>-32.622170026750183</v>
      </c>
      <c r="O15" s="38">
        <f t="shared" si="14"/>
        <v>7.3900000000000006</v>
      </c>
      <c r="P15" s="38">
        <f t="shared" si="2"/>
        <v>16.53143</v>
      </c>
      <c r="Q15" s="38">
        <f t="shared" si="10"/>
        <v>7.3900000000000006</v>
      </c>
      <c r="R15" s="93">
        <f t="shared" si="15"/>
        <v>169.22999999999996</v>
      </c>
      <c r="S15" s="103">
        <v>-3.9592874494513626</v>
      </c>
      <c r="T15" s="97">
        <f t="shared" si="12"/>
        <v>-0.51026190476190481</v>
      </c>
      <c r="U15" s="93">
        <f>U14+T15</f>
        <v>19.956309177623979</v>
      </c>
      <c r="V15" s="93">
        <f t="shared" si="3"/>
        <v>-3.9592874494513626</v>
      </c>
      <c r="W15" s="38">
        <f t="shared" si="4"/>
        <v>-1812.5</v>
      </c>
      <c r="X15" s="38">
        <f t="shared" si="5"/>
        <v>19.035484351800001</v>
      </c>
      <c r="Y15" s="38">
        <f t="shared" si="6"/>
        <v>568.98</v>
      </c>
      <c r="Z15" s="38">
        <f t="shared" si="7"/>
        <v>-491.0839285714286</v>
      </c>
      <c r="AA15" s="38">
        <f t="shared" si="8"/>
        <v>-1715.5684442196284</v>
      </c>
      <c r="AB15" s="38">
        <f t="shared" si="1"/>
        <v>-12678.050802783055</v>
      </c>
      <c r="AC15" s="38">
        <f t="shared" si="13"/>
        <v>159878.05080278305</v>
      </c>
      <c r="AD15" s="127"/>
      <c r="AE15" s="127"/>
      <c r="AF15" s="69"/>
      <c r="AG15" s="69"/>
      <c r="AH15" s="69"/>
      <c r="AI15" s="69"/>
      <c r="AJ15" s="69"/>
      <c r="AK15" s="71"/>
      <c r="AL15" s="71"/>
      <c r="AM15" s="71"/>
      <c r="AN15" s="71"/>
      <c r="AO15" s="71"/>
      <c r="AP15" s="71"/>
      <c r="AQ15" s="71"/>
      <c r="AR15" s="71"/>
      <c r="AS15" s="71"/>
      <c r="AT15" s="71"/>
      <c r="AU15" s="71"/>
      <c r="AV15" s="69"/>
      <c r="AW15" s="48" t="s">
        <v>223</v>
      </c>
      <c r="AX15" s="48">
        <v>500</v>
      </c>
      <c r="AY15" s="48">
        <v>210</v>
      </c>
      <c r="AZ15" s="48" t="s">
        <v>226</v>
      </c>
      <c r="BA15" s="48">
        <v>0.96</v>
      </c>
      <c r="BB15" s="48">
        <v>5.75</v>
      </c>
      <c r="BC15" s="118"/>
      <c r="BD15" s="118"/>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c r="CT15" s="69"/>
      <c r="CU15" s="69"/>
      <c r="CV15" s="69"/>
      <c r="CW15" s="69"/>
    </row>
    <row r="16" spans="1:101" ht="19.5" x14ac:dyDescent="0.35">
      <c r="A16" s="71"/>
      <c r="B16" s="72"/>
      <c r="C16" s="41"/>
      <c r="D16" s="38" t="s">
        <v>127</v>
      </c>
      <c r="E16" s="40" t="s">
        <v>128</v>
      </c>
      <c r="F16" s="41"/>
      <c r="G16" s="106"/>
      <c r="H16" s="38"/>
      <c r="I16" s="109">
        <v>4</v>
      </c>
      <c r="J16" s="38">
        <v>1</v>
      </c>
      <c r="K16" s="38">
        <v>1</v>
      </c>
      <c r="L16" s="38">
        <v>14</v>
      </c>
      <c r="M16" s="103">
        <v>-2.9</v>
      </c>
      <c r="N16" s="38">
        <f t="shared" si="9"/>
        <v>-37.841717231030209</v>
      </c>
      <c r="O16" s="38">
        <f t="shared" si="14"/>
        <v>4.49</v>
      </c>
      <c r="P16" s="38">
        <f t="shared" si="2"/>
        <v>10.044130000000001</v>
      </c>
      <c r="Q16" s="38">
        <f t="shared" si="10"/>
        <v>4.49</v>
      </c>
      <c r="R16" s="93">
        <f t="shared" si="15"/>
        <v>173.71999999999997</v>
      </c>
      <c r="S16" s="103">
        <v>-3.9592874494513626</v>
      </c>
      <c r="T16" s="97">
        <f t="shared" si="12"/>
        <v>-0.31002380952380953</v>
      </c>
      <c r="U16" s="93">
        <f t="shared" si="16"/>
        <v>19.64628536810017</v>
      </c>
      <c r="V16" s="93">
        <f t="shared" si="3"/>
        <v>-3.9592874494513626</v>
      </c>
      <c r="W16" s="38">
        <f t="shared" si="4"/>
        <v>-2102.5</v>
      </c>
      <c r="X16" s="38">
        <f t="shared" si="5"/>
        <v>7.026964135800001</v>
      </c>
      <c r="Y16" s="38">
        <f t="shared" si="6"/>
        <v>568.98</v>
      </c>
      <c r="Z16" s="38">
        <f t="shared" si="7"/>
        <v>-491.0839285714286</v>
      </c>
      <c r="AA16" s="38">
        <f t="shared" si="8"/>
        <v>-2017.5769644356287</v>
      </c>
      <c r="AB16" s="38">
        <f t="shared" si="1"/>
        <v>-9058.9205703159732</v>
      </c>
      <c r="AC16" s="38">
        <f t="shared" si="13"/>
        <v>156258.92057031597</v>
      </c>
      <c r="AD16" s="127"/>
      <c r="AE16" s="127"/>
      <c r="AF16" s="69"/>
      <c r="AG16" s="69"/>
      <c r="AH16" s="69"/>
      <c r="AI16" s="69"/>
      <c r="AJ16" s="69"/>
      <c r="AK16" s="71"/>
      <c r="AL16" s="71"/>
      <c r="AM16" s="71"/>
      <c r="AN16" s="71"/>
      <c r="AO16" s="71"/>
      <c r="AP16" s="71"/>
      <c r="AQ16" s="71"/>
      <c r="AR16" s="71"/>
      <c r="AS16" s="71"/>
      <c r="AT16" s="71"/>
      <c r="AU16" s="71"/>
      <c r="AV16" s="69"/>
      <c r="AW16" s="118"/>
      <c r="AX16" s="118"/>
      <c r="AY16" s="118"/>
      <c r="AZ16" s="118"/>
      <c r="BA16" s="118"/>
      <c r="BB16" s="118"/>
      <c r="BC16" s="118"/>
      <c r="BD16" s="118"/>
      <c r="BE16" s="69"/>
      <c r="BF16" s="69"/>
      <c r="BG16" s="69"/>
      <c r="BH16" s="69"/>
      <c r="BI16" s="69"/>
      <c r="BJ16" s="69"/>
      <c r="BK16" s="69"/>
      <c r="BL16" s="69"/>
      <c r="BM16" s="69"/>
      <c r="BN16" s="69"/>
      <c r="BO16" s="69"/>
      <c r="BP16" s="69"/>
      <c r="BQ16" s="69"/>
      <c r="BR16" s="69"/>
      <c r="BS16" s="69"/>
      <c r="BT16" s="69"/>
      <c r="BU16" s="69"/>
      <c r="BV16" s="69"/>
      <c r="BW16" s="69"/>
      <c r="BX16" s="69"/>
      <c r="BY16" s="69">
        <v>1</v>
      </c>
      <c r="BZ16" s="69" t="s">
        <v>221</v>
      </c>
      <c r="CA16" s="69"/>
      <c r="CB16" s="69"/>
      <c r="CC16" s="69"/>
      <c r="CD16" s="69"/>
      <c r="CE16" s="69"/>
      <c r="CF16" s="69"/>
      <c r="CG16" s="69"/>
      <c r="CH16" s="69"/>
      <c r="CI16" s="69"/>
      <c r="CJ16" s="69"/>
      <c r="CK16" s="69"/>
      <c r="CL16" s="69"/>
      <c r="CM16" s="69"/>
      <c r="CN16" s="69"/>
      <c r="CO16" s="69"/>
      <c r="CP16" s="69"/>
      <c r="CQ16" s="69"/>
      <c r="CR16" s="69"/>
      <c r="CS16" s="69"/>
      <c r="CT16" s="69"/>
      <c r="CU16" s="69"/>
      <c r="CV16" s="69"/>
      <c r="CW16" s="69"/>
    </row>
    <row r="17" spans="1:101" ht="19.5" x14ac:dyDescent="0.35">
      <c r="A17" s="71"/>
      <c r="B17" s="72"/>
      <c r="C17" s="41"/>
      <c r="D17" s="38" t="s">
        <v>129</v>
      </c>
      <c r="E17" s="40" t="s">
        <v>130</v>
      </c>
      <c r="F17" s="81"/>
      <c r="G17" s="105"/>
      <c r="H17" s="38"/>
      <c r="I17" s="109">
        <v>4</v>
      </c>
      <c r="J17" s="38">
        <v>1</v>
      </c>
      <c r="K17" s="38">
        <v>1</v>
      </c>
      <c r="L17" s="38">
        <v>15</v>
      </c>
      <c r="M17" s="103">
        <v>-3</v>
      </c>
      <c r="N17" s="38">
        <f t="shared" si="9"/>
        <v>-39.146604032100214</v>
      </c>
      <c r="O17" s="38">
        <f t="shared" si="14"/>
        <v>1.4900000000000002</v>
      </c>
      <c r="P17" s="38">
        <f t="shared" si="2"/>
        <v>3.3331300000000006</v>
      </c>
      <c r="Q17" s="38">
        <f t="shared" si="10"/>
        <v>1.4900000000000002</v>
      </c>
      <c r="R17" s="93">
        <f t="shared" si="15"/>
        <v>175.20999999999998</v>
      </c>
      <c r="S17" s="103">
        <v>-3.9592874494513626</v>
      </c>
      <c r="T17" s="97">
        <f t="shared" si="12"/>
        <v>-0.10288095238095241</v>
      </c>
      <c r="U17" s="93">
        <f t="shared" si="16"/>
        <v>19.543404415719216</v>
      </c>
      <c r="V17" s="93">
        <f t="shared" si="3"/>
        <v>-3.9592874494513626</v>
      </c>
      <c r="W17" s="38">
        <f t="shared" si="4"/>
        <v>-2175</v>
      </c>
      <c r="X17" s="38">
        <f t="shared" si="5"/>
        <v>0.77383361580000021</v>
      </c>
      <c r="Y17" s="38">
        <f t="shared" si="6"/>
        <v>568.98</v>
      </c>
      <c r="Z17" s="38">
        <f t="shared" si="7"/>
        <v>-491.0839285714286</v>
      </c>
      <c r="AA17" s="38">
        <f t="shared" si="8"/>
        <v>-2096.3300949556287</v>
      </c>
      <c r="AB17" s="38">
        <f t="shared" si="1"/>
        <v>-3123.5318414838871</v>
      </c>
      <c r="AC17" s="38">
        <f t="shared" si="13"/>
        <v>150323.5318414839</v>
      </c>
      <c r="AD17" s="127"/>
      <c r="AE17" s="127"/>
      <c r="AF17" s="69"/>
      <c r="AG17" s="69"/>
      <c r="AH17" s="69"/>
      <c r="AI17" s="69"/>
      <c r="AJ17" s="69"/>
      <c r="AK17" s="71"/>
      <c r="AL17" s="71"/>
      <c r="AM17" s="71"/>
      <c r="AN17" s="71"/>
      <c r="AO17" s="71"/>
      <c r="AP17" s="71"/>
      <c r="AQ17" s="71"/>
      <c r="AR17" s="71"/>
      <c r="AS17" s="71"/>
      <c r="AT17" s="71"/>
      <c r="AU17" s="71"/>
      <c r="AV17" s="69"/>
      <c r="AW17" s="118"/>
      <c r="AX17" s="118"/>
      <c r="AY17" s="118"/>
      <c r="AZ17" s="118"/>
      <c r="BA17" s="118"/>
      <c r="BB17" s="118"/>
      <c r="BC17" s="118"/>
      <c r="BD17" s="118"/>
      <c r="BE17" s="69"/>
      <c r="BF17" s="69"/>
      <c r="BG17" s="69"/>
      <c r="BH17" s="69"/>
      <c r="BI17" s="69"/>
      <c r="BJ17" s="69"/>
      <c r="BK17" s="69"/>
      <c r="BL17" s="69"/>
      <c r="BM17" s="69"/>
      <c r="BN17" s="69"/>
      <c r="BO17" s="69"/>
      <c r="BP17" s="69"/>
      <c r="BQ17" s="69"/>
      <c r="BR17" s="69"/>
      <c r="BS17" s="69"/>
      <c r="BT17" s="69"/>
      <c r="BU17" s="69"/>
      <c r="BV17" s="69"/>
      <c r="BW17" s="69"/>
      <c r="BX17" s="69"/>
      <c r="BY17" s="69">
        <v>2</v>
      </c>
      <c r="BZ17" s="69" t="s">
        <v>229</v>
      </c>
      <c r="CA17" s="69"/>
      <c r="CB17" s="69"/>
      <c r="CC17" s="69"/>
      <c r="CD17" s="69"/>
      <c r="CE17" s="69"/>
      <c r="CF17" s="69"/>
      <c r="CG17" s="69"/>
      <c r="CH17" s="69"/>
      <c r="CI17" s="69"/>
      <c r="CJ17" s="69"/>
      <c r="CK17" s="69"/>
      <c r="CL17" s="69"/>
      <c r="CM17" s="69"/>
      <c r="CN17" s="69"/>
      <c r="CO17" s="69"/>
      <c r="CP17" s="69"/>
      <c r="CQ17" s="69"/>
      <c r="CR17" s="69"/>
      <c r="CS17" s="69"/>
      <c r="CT17" s="69"/>
      <c r="CU17" s="69"/>
      <c r="CV17" s="69"/>
      <c r="CW17" s="69"/>
    </row>
    <row r="18" spans="1:101" ht="19.5" x14ac:dyDescent="0.35">
      <c r="A18" s="71"/>
      <c r="B18" s="72"/>
      <c r="C18" s="41"/>
      <c r="D18" s="38" t="s">
        <v>133</v>
      </c>
      <c r="E18" s="52" t="s">
        <v>132</v>
      </c>
      <c r="F18" s="41"/>
      <c r="G18" s="105"/>
      <c r="H18" s="38"/>
      <c r="I18" s="109">
        <v>5</v>
      </c>
      <c r="J18" s="38">
        <v>1</v>
      </c>
      <c r="K18" s="38">
        <v>1</v>
      </c>
      <c r="L18" s="98">
        <v>16</v>
      </c>
      <c r="M18" s="103">
        <v>-1</v>
      </c>
      <c r="N18" s="38">
        <f t="shared" si="9"/>
        <v>-13.048868010700071</v>
      </c>
      <c r="O18" s="38">
        <f t="shared" si="14"/>
        <v>0.49000000000000021</v>
      </c>
      <c r="P18" s="38">
        <f t="shared" si="2"/>
        <v>1.0961300000000005</v>
      </c>
      <c r="Q18" s="38">
        <f t="shared" si="10"/>
        <v>0.49000000000000021</v>
      </c>
      <c r="R18" s="100">
        <f t="shared" si="15"/>
        <v>175.7</v>
      </c>
      <c r="S18" s="103">
        <v>-4.0960437581523328</v>
      </c>
      <c r="T18" s="97">
        <f>Q18*(SIN(RADIANS(S18)))</f>
        <v>-3.500000000000001E-2</v>
      </c>
      <c r="U18" s="100">
        <f t="shared" si="16"/>
        <v>19.508404415719216</v>
      </c>
      <c r="V18" s="93">
        <f t="shared" si="3"/>
        <v>-4.0960437581523328</v>
      </c>
      <c r="W18" s="38">
        <f t="shared" si="4"/>
        <v>-725</v>
      </c>
      <c r="X18" s="38">
        <f t="shared" si="5"/>
        <v>8.3688775800000059E-2</v>
      </c>
      <c r="Y18" s="38">
        <f t="shared" si="6"/>
        <v>568.98</v>
      </c>
      <c r="Z18" s="38">
        <f t="shared" si="7"/>
        <v>-508.01785714285711</v>
      </c>
      <c r="AA18" s="38">
        <f t="shared" si="8"/>
        <v>-663.95416836705704</v>
      </c>
      <c r="AB18" s="38">
        <f t="shared" si="1"/>
        <v>-325.3375424998581</v>
      </c>
      <c r="AC18" s="38">
        <f t="shared" si="13"/>
        <v>147525.33754249985</v>
      </c>
      <c r="AD18" s="127"/>
      <c r="AE18" s="127"/>
      <c r="AF18" s="69"/>
      <c r="AG18" s="69"/>
      <c r="AH18" s="69"/>
      <c r="AI18" s="69"/>
      <c r="AJ18" s="69"/>
      <c r="AK18" s="71"/>
      <c r="AL18" s="71"/>
      <c r="AM18" s="71"/>
      <c r="AN18" s="71"/>
      <c r="AO18" s="71"/>
      <c r="AP18" s="71"/>
      <c r="AQ18" s="71"/>
      <c r="AR18" s="71"/>
      <c r="AS18" s="71"/>
      <c r="AT18" s="71"/>
      <c r="AU18" s="71"/>
      <c r="AV18" s="69"/>
      <c r="AW18" s="97" t="s">
        <v>261</v>
      </c>
      <c r="AX18" s="97" t="s">
        <v>259</v>
      </c>
      <c r="AY18" s="97" t="s">
        <v>262</v>
      </c>
      <c r="AZ18" s="97" t="s">
        <v>281</v>
      </c>
      <c r="BA18" s="97" t="s">
        <v>263</v>
      </c>
      <c r="BB18" s="97" t="s">
        <v>282</v>
      </c>
      <c r="BC18" s="118"/>
      <c r="BD18" s="118"/>
      <c r="BE18" s="69"/>
      <c r="BF18" s="69"/>
      <c r="BG18" s="69"/>
      <c r="BH18" s="69"/>
      <c r="BI18" s="69"/>
      <c r="BJ18" s="69"/>
      <c r="BK18" s="69"/>
      <c r="BL18" s="69"/>
      <c r="BM18" s="69"/>
      <c r="BN18" s="69"/>
      <c r="BO18" s="69"/>
      <c r="BP18" s="69"/>
      <c r="BQ18" s="69"/>
      <c r="BR18" s="69"/>
      <c r="BS18" s="69"/>
      <c r="BT18" s="69"/>
      <c r="BU18" s="69"/>
      <c r="BV18" s="69"/>
      <c r="BW18" s="69"/>
      <c r="BX18" s="69"/>
      <c r="BY18" s="69">
        <v>3</v>
      </c>
      <c r="BZ18" s="69" t="s">
        <v>230</v>
      </c>
      <c r="CA18" s="69"/>
      <c r="CB18" s="69"/>
      <c r="CC18" s="69"/>
      <c r="CD18" s="69"/>
      <c r="CE18" s="69"/>
      <c r="CF18" s="69"/>
      <c r="CG18" s="69"/>
      <c r="CH18" s="69"/>
      <c r="CI18" s="69"/>
      <c r="CJ18" s="69"/>
      <c r="CK18" s="69"/>
      <c r="CL18" s="69"/>
      <c r="CM18" s="69"/>
      <c r="CN18" s="69"/>
      <c r="CO18" s="69"/>
      <c r="CP18" s="69"/>
      <c r="CQ18" s="69"/>
      <c r="CR18" s="69"/>
      <c r="CS18" s="69"/>
      <c r="CT18" s="69"/>
      <c r="CU18" s="69"/>
      <c r="CV18" s="69"/>
      <c r="CW18" s="69"/>
    </row>
    <row r="19" spans="1:101" ht="19.5" x14ac:dyDescent="0.35">
      <c r="A19" s="71"/>
      <c r="B19" s="72"/>
      <c r="C19" s="41"/>
      <c r="D19" s="38" t="s">
        <v>65</v>
      </c>
      <c r="E19" s="40" t="s">
        <v>131</v>
      </c>
      <c r="F19" s="45"/>
      <c r="G19" s="105"/>
      <c r="H19" s="38"/>
      <c r="I19" s="109">
        <v>5</v>
      </c>
      <c r="J19" s="38">
        <v>1</v>
      </c>
      <c r="K19" s="38">
        <v>1</v>
      </c>
      <c r="L19" s="38">
        <v>17</v>
      </c>
      <c r="M19" s="103">
        <v>1</v>
      </c>
      <c r="N19" s="38">
        <f t="shared" si="9"/>
        <v>13.048868010700071</v>
      </c>
      <c r="O19" s="38">
        <f t="shared" si="14"/>
        <v>1.4900000000000002</v>
      </c>
      <c r="P19" s="38">
        <f t="shared" si="2"/>
        <v>3.3331300000000006</v>
      </c>
      <c r="Q19" s="38">
        <f t="shared" si="10"/>
        <v>1.4900000000000002</v>
      </c>
      <c r="R19" s="93">
        <f>Q19+R18</f>
        <v>177.19</v>
      </c>
      <c r="S19" s="103">
        <v>-4.0960437581523328</v>
      </c>
      <c r="T19" s="97">
        <f t="shared" si="12"/>
        <v>-0.10642857142857144</v>
      </c>
      <c r="U19" s="93">
        <f t="shared" si="16"/>
        <v>19.401975844290643</v>
      </c>
      <c r="V19" s="93">
        <f t="shared" si="3"/>
        <v>-4.0960437581523328</v>
      </c>
      <c r="W19" s="38">
        <f t="shared" si="4"/>
        <v>725</v>
      </c>
      <c r="X19" s="38">
        <f t="shared" si="5"/>
        <v>0.77383361580000021</v>
      </c>
      <c r="Y19" s="38">
        <f t="shared" si="6"/>
        <v>568.98</v>
      </c>
      <c r="Z19" s="38">
        <f t="shared" si="7"/>
        <v>-508.01785714285711</v>
      </c>
      <c r="AA19" s="38">
        <f t="shared" si="8"/>
        <v>786.73597647294287</v>
      </c>
      <c r="AB19" s="38">
        <f t="shared" si="1"/>
        <v>1172.236604944685</v>
      </c>
      <c r="AC19" s="38">
        <f t="shared" si="13"/>
        <v>146027.76339505531</v>
      </c>
      <c r="AD19" s="127"/>
      <c r="AE19" s="127"/>
      <c r="AF19" s="69"/>
      <c r="AG19" s="69"/>
      <c r="AH19" s="69"/>
      <c r="AI19" s="69"/>
      <c r="AJ19" s="69"/>
      <c r="AK19" s="71"/>
      <c r="AL19" s="71"/>
      <c r="AM19" s="71"/>
      <c r="AN19" s="71"/>
      <c r="AO19" s="71"/>
      <c r="AP19" s="71"/>
      <c r="AQ19" s="71"/>
      <c r="AR19" s="71"/>
      <c r="AS19" s="71"/>
      <c r="AT19" s="71"/>
      <c r="AU19" s="71"/>
      <c r="AV19" s="69"/>
      <c r="AW19" s="141" t="s">
        <v>208</v>
      </c>
      <c r="AX19" s="144" t="s">
        <v>278</v>
      </c>
      <c r="AY19" s="145">
        <v>16000</v>
      </c>
      <c r="AZ19" s="146" t="s">
        <v>276</v>
      </c>
      <c r="BA19" s="126">
        <f>2*34.2</f>
        <v>68.400000000000006</v>
      </c>
      <c r="BB19" s="146" t="s">
        <v>221</v>
      </c>
      <c r="BC19" s="69" t="s">
        <v>275</v>
      </c>
      <c r="BD19" s="69"/>
      <c r="BE19" s="69"/>
      <c r="BF19" s="69"/>
      <c r="BG19" s="69"/>
      <c r="BH19" s="69"/>
      <c r="BI19" s="69"/>
      <c r="BJ19" s="69"/>
      <c r="BK19" s="69"/>
      <c r="BL19" s="69"/>
      <c r="BM19" s="69"/>
      <c r="BN19" s="69"/>
      <c r="BO19" s="69"/>
      <c r="BP19" s="69"/>
      <c r="BQ19" s="69"/>
      <c r="BR19" s="69"/>
      <c r="BS19" s="69"/>
      <c r="BT19" s="69"/>
      <c r="BU19" s="69"/>
      <c r="BV19" s="69"/>
      <c r="BW19" s="69"/>
      <c r="BX19" s="69"/>
      <c r="BY19" s="69">
        <v>4</v>
      </c>
      <c r="BZ19" s="69" t="s">
        <v>257</v>
      </c>
      <c r="CA19" s="69"/>
      <c r="CB19" s="69"/>
      <c r="CC19" s="69"/>
      <c r="CD19" s="69"/>
      <c r="CE19" s="69"/>
      <c r="CF19" s="69"/>
      <c r="CG19" s="69"/>
      <c r="CH19" s="69"/>
      <c r="CI19" s="69"/>
      <c r="CJ19" s="69"/>
      <c r="CK19" s="69"/>
      <c r="CL19" s="69"/>
      <c r="CM19" s="69"/>
      <c r="CN19" s="69"/>
      <c r="CO19" s="69"/>
      <c r="CP19" s="69"/>
      <c r="CQ19" s="69"/>
      <c r="CR19" s="69"/>
      <c r="CS19" s="69"/>
      <c r="CT19" s="69"/>
      <c r="CU19" s="69"/>
      <c r="CV19" s="69"/>
      <c r="CW19" s="69"/>
    </row>
    <row r="20" spans="1:101" ht="19.5" x14ac:dyDescent="0.35">
      <c r="A20" s="71"/>
      <c r="B20" s="72"/>
      <c r="C20" s="41"/>
      <c r="D20" s="38" t="s">
        <v>66</v>
      </c>
      <c r="E20" s="44" t="s">
        <v>152</v>
      </c>
      <c r="F20" s="45"/>
      <c r="G20" s="105"/>
      <c r="H20" s="38"/>
      <c r="I20" s="109">
        <v>6</v>
      </c>
      <c r="J20" s="38">
        <v>1</v>
      </c>
      <c r="K20" s="38">
        <v>1</v>
      </c>
      <c r="L20" s="98">
        <v>18</v>
      </c>
      <c r="M20" s="103">
        <v>1.96</v>
      </c>
      <c r="N20" s="38">
        <f t="shared" si="9"/>
        <v>25.575781300972139</v>
      </c>
      <c r="O20" s="38">
        <f t="shared" si="14"/>
        <v>3.45</v>
      </c>
      <c r="P20" s="38">
        <f t="shared" si="2"/>
        <v>7.7176500000000008</v>
      </c>
      <c r="Q20" s="38">
        <f t="shared" si="10"/>
        <v>3.45</v>
      </c>
      <c r="R20" s="100">
        <f t="shared" si="15"/>
        <v>180.64</v>
      </c>
      <c r="S20" s="103">
        <v>-8.0478462473115151</v>
      </c>
      <c r="T20" s="97">
        <f t="shared" si="12"/>
        <v>-0.48299999999999998</v>
      </c>
      <c r="U20" s="100">
        <f t="shared" si="16"/>
        <v>18.918975844290642</v>
      </c>
      <c r="V20" s="93">
        <f t="shared" si="3"/>
        <v>-8.0478462473115151</v>
      </c>
      <c r="W20" s="38">
        <f t="shared" si="4"/>
        <v>1421</v>
      </c>
      <c r="X20" s="38">
        <f t="shared" si="5"/>
        <v>4.148711595</v>
      </c>
      <c r="Y20" s="38">
        <f t="shared" si="6"/>
        <v>568.98</v>
      </c>
      <c r="Z20" s="38">
        <f t="shared" si="7"/>
        <v>-995.71499999999992</v>
      </c>
      <c r="AA20" s="38">
        <f t="shared" si="8"/>
        <v>998.41371159500011</v>
      </c>
      <c r="AB20" s="38">
        <f t="shared" si="1"/>
        <v>3444.5273050027504</v>
      </c>
      <c r="AC20" s="38">
        <f t="shared" si="13"/>
        <v>143755.47269499724</v>
      </c>
      <c r="AD20" s="127"/>
      <c r="AE20" s="127"/>
      <c r="AF20" s="69"/>
      <c r="AG20" s="69"/>
      <c r="AH20" s="69"/>
      <c r="AI20" s="69"/>
      <c r="AJ20" s="69"/>
      <c r="AK20" s="71"/>
      <c r="AL20" s="71"/>
      <c r="AM20" s="71"/>
      <c r="AN20" s="71"/>
      <c r="AO20" s="71"/>
      <c r="AP20" s="71"/>
      <c r="AQ20" s="71"/>
      <c r="AR20" s="71"/>
      <c r="AS20" s="71"/>
      <c r="AT20" s="71"/>
      <c r="AU20" s="71"/>
      <c r="AV20" s="127"/>
      <c r="AW20" s="141" t="s">
        <v>260</v>
      </c>
      <c r="AX20" s="144" t="s">
        <v>223</v>
      </c>
      <c r="AY20" s="145">
        <v>8000</v>
      </c>
      <c r="AZ20" s="146" t="s">
        <v>276</v>
      </c>
      <c r="BA20" s="126">
        <v>5.7</v>
      </c>
      <c r="BB20" s="146" t="s">
        <v>229</v>
      </c>
      <c r="BC20" s="69" t="s">
        <v>275</v>
      </c>
      <c r="BD20" s="69"/>
      <c r="BE20" s="69"/>
      <c r="BF20" s="69"/>
      <c r="BG20" s="69"/>
      <c r="BH20" s="69"/>
      <c r="BI20" s="69"/>
      <c r="BJ20" s="69"/>
      <c r="BK20" s="69"/>
      <c r="BL20" s="69"/>
      <c r="BM20" s="69"/>
      <c r="BN20" s="69"/>
      <c r="BO20" s="69"/>
      <c r="BP20" s="69"/>
      <c r="BQ20" s="69"/>
      <c r="BR20" s="69"/>
      <c r="BS20" s="69"/>
      <c r="BT20" s="69"/>
      <c r="BU20" s="69"/>
      <c r="BV20" s="69"/>
      <c r="BW20" s="69"/>
      <c r="BX20" s="69"/>
      <c r="BY20" s="69">
        <v>5</v>
      </c>
      <c r="BZ20" s="69" t="s">
        <v>258</v>
      </c>
      <c r="CA20" s="69"/>
      <c r="CB20" s="69"/>
      <c r="CC20" s="69"/>
      <c r="CD20" s="69"/>
      <c r="CE20" s="69"/>
      <c r="CF20" s="69"/>
      <c r="CG20" s="69"/>
      <c r="CH20" s="69"/>
      <c r="CI20" s="69"/>
      <c r="CJ20" s="69"/>
      <c r="CK20" s="69"/>
      <c r="CL20" s="69"/>
      <c r="CM20" s="69"/>
      <c r="CN20" s="69"/>
      <c r="CO20" s="69"/>
      <c r="CP20" s="69"/>
      <c r="CQ20" s="69"/>
      <c r="CR20" s="69"/>
      <c r="CS20" s="69"/>
      <c r="CT20" s="69"/>
      <c r="CU20" s="69"/>
      <c r="CV20" s="69"/>
      <c r="CW20" s="69"/>
    </row>
    <row r="21" spans="1:101" ht="19.5" x14ac:dyDescent="0.35">
      <c r="A21" s="71"/>
      <c r="B21" s="72"/>
      <c r="C21" s="41"/>
      <c r="D21" s="38" t="s">
        <v>93</v>
      </c>
      <c r="E21" s="44" t="s">
        <v>92</v>
      </c>
      <c r="F21" s="41"/>
      <c r="G21" s="105"/>
      <c r="H21" s="38"/>
      <c r="I21" s="109">
        <v>6</v>
      </c>
      <c r="J21" s="38">
        <v>1</v>
      </c>
      <c r="K21" s="38">
        <v>1</v>
      </c>
      <c r="L21" s="38">
        <v>19</v>
      </c>
      <c r="M21" s="103">
        <v>-1.6</v>
      </c>
      <c r="N21" s="38">
        <f t="shared" si="9"/>
        <v>-20.878188817120115</v>
      </c>
      <c r="O21" s="38">
        <f t="shared" si="14"/>
        <v>1.85</v>
      </c>
      <c r="P21" s="38">
        <f t="shared" si="2"/>
        <v>4.1384500000000006</v>
      </c>
      <c r="Q21" s="38">
        <f t="shared" si="10"/>
        <v>1.85</v>
      </c>
      <c r="R21" s="93">
        <f t="shared" si="15"/>
        <v>182.48999999999998</v>
      </c>
      <c r="S21" s="103">
        <v>-8.0478462473115151</v>
      </c>
      <c r="T21" s="97">
        <f t="shared" si="12"/>
        <v>-0.25900000000000001</v>
      </c>
      <c r="U21" s="93">
        <f t="shared" si="16"/>
        <v>18.659975844290642</v>
      </c>
      <c r="V21" s="93">
        <f t="shared" si="3"/>
        <v>-8.0478462473115151</v>
      </c>
      <c r="W21" s="38">
        <f t="shared" si="4"/>
        <v>-1160</v>
      </c>
      <c r="X21" s="38">
        <f t="shared" si="5"/>
        <v>1.192939755</v>
      </c>
      <c r="Y21" s="38">
        <f t="shared" si="6"/>
        <v>568.98</v>
      </c>
      <c r="Z21" s="38">
        <f t="shared" si="7"/>
        <v>-995.71499999999992</v>
      </c>
      <c r="AA21" s="38">
        <f t="shared" si="8"/>
        <v>-1585.5420602449999</v>
      </c>
      <c r="AB21" s="38">
        <f t="shared" si="1"/>
        <v>-2933.2528114532502</v>
      </c>
      <c r="AC21" s="38">
        <f t="shared" si="13"/>
        <v>150133.25281145325</v>
      </c>
      <c r="AD21" s="127"/>
      <c r="AE21" s="127"/>
      <c r="AF21" s="69"/>
      <c r="AG21" s="69"/>
      <c r="AH21" s="69"/>
      <c r="AI21" s="69"/>
      <c r="AJ21" s="69"/>
      <c r="AK21" s="71"/>
      <c r="AL21" s="71"/>
      <c r="AM21" s="71"/>
      <c r="AN21" s="71"/>
      <c r="AO21" s="71"/>
      <c r="AP21" s="71"/>
      <c r="AQ21" s="71"/>
      <c r="AR21" s="71"/>
      <c r="AS21" s="71"/>
      <c r="AT21" s="71"/>
      <c r="AU21" s="71"/>
      <c r="AV21" s="69"/>
      <c r="AW21" s="141" t="s">
        <v>264</v>
      </c>
      <c r="AX21" s="126" t="s">
        <v>265</v>
      </c>
      <c r="AY21" s="126">
        <v>200</v>
      </c>
      <c r="AZ21" s="126" t="s">
        <v>273</v>
      </c>
      <c r="BA21" s="126">
        <v>2.5</v>
      </c>
      <c r="BB21" s="126" t="s">
        <v>273</v>
      </c>
      <c r="BC21" s="69" t="s">
        <v>275</v>
      </c>
      <c r="BD21" s="69"/>
      <c r="BE21" s="69"/>
      <c r="BF21" s="69"/>
      <c r="BG21" s="69"/>
      <c r="BH21" s="69"/>
      <c r="BI21" s="69"/>
      <c r="BJ21" s="69"/>
      <c r="BK21" s="69"/>
      <c r="BL21" s="69"/>
      <c r="BM21" s="69"/>
      <c r="BN21" s="69"/>
      <c r="BO21" s="69"/>
      <c r="BP21" s="69"/>
      <c r="BQ21" s="69"/>
      <c r="BR21" s="69"/>
      <c r="BS21" s="69"/>
      <c r="BT21" s="69"/>
      <c r="BU21" s="69"/>
      <c r="BV21" s="69"/>
      <c r="BW21" s="69"/>
      <c r="BX21" s="69"/>
      <c r="BY21" s="69">
        <v>6</v>
      </c>
      <c r="BZ21" s="69" t="s">
        <v>87</v>
      </c>
      <c r="CA21" s="69"/>
      <c r="CB21" s="69"/>
      <c r="CC21" s="69"/>
      <c r="CD21" s="69"/>
      <c r="CE21" s="69"/>
      <c r="CF21" s="69"/>
      <c r="CG21" s="69"/>
      <c r="CH21" s="69"/>
      <c r="CI21" s="69"/>
      <c r="CJ21" s="69"/>
      <c r="CK21" s="69"/>
      <c r="CL21" s="69"/>
      <c r="CM21" s="69"/>
      <c r="CN21" s="69"/>
      <c r="CO21" s="69"/>
      <c r="CP21" s="69"/>
      <c r="CQ21" s="69"/>
      <c r="CR21" s="69"/>
      <c r="CS21" s="69"/>
      <c r="CT21" s="69"/>
      <c r="CU21" s="69"/>
      <c r="CV21" s="69"/>
      <c r="CW21" s="69"/>
    </row>
    <row r="22" spans="1:101" ht="19.5" x14ac:dyDescent="0.35">
      <c r="A22" s="71"/>
      <c r="B22" s="72"/>
      <c r="C22" s="41"/>
      <c r="D22" s="41" t="s">
        <v>153</v>
      </c>
      <c r="E22" s="55" t="s">
        <v>150</v>
      </c>
      <c r="F22" s="45"/>
      <c r="G22" s="105"/>
      <c r="H22" s="38"/>
      <c r="I22" s="109">
        <v>6</v>
      </c>
      <c r="J22" s="38">
        <v>1</v>
      </c>
      <c r="K22" s="38">
        <v>1</v>
      </c>
      <c r="L22" s="38">
        <v>20</v>
      </c>
      <c r="M22" s="103">
        <v>-1.3</v>
      </c>
      <c r="N22" s="38">
        <f t="shared" si="9"/>
        <v>-16.963528413910094</v>
      </c>
      <c r="O22" s="38">
        <f t="shared" si="14"/>
        <v>0.55000000000000004</v>
      </c>
      <c r="P22" s="38">
        <f t="shared" si="2"/>
        <v>1.2303500000000001</v>
      </c>
      <c r="Q22" s="38">
        <f t="shared" si="10"/>
        <v>0.55000000000000004</v>
      </c>
      <c r="R22" s="93">
        <f t="shared" si="15"/>
        <v>183.04</v>
      </c>
      <c r="S22" s="103">
        <v>-8.0478462473115151</v>
      </c>
      <c r="T22" s="97">
        <f t="shared" si="12"/>
        <v>-7.6999999999999999E-2</v>
      </c>
      <c r="U22" s="93">
        <f t="shared" si="16"/>
        <v>18.58297584429064</v>
      </c>
      <c r="V22" s="93">
        <f t="shared" si="3"/>
        <v>-8.0478462473115151</v>
      </c>
      <c r="W22" s="38">
        <f t="shared" si="4"/>
        <v>-942.5</v>
      </c>
      <c r="X22" s="38">
        <f t="shared" si="5"/>
        <v>0.10543879500000002</v>
      </c>
      <c r="Y22" s="38">
        <f t="shared" si="6"/>
        <v>568.98</v>
      </c>
      <c r="Z22" s="38">
        <f t="shared" si="7"/>
        <v>-995.71499999999992</v>
      </c>
      <c r="AA22" s="38">
        <f t="shared" si="8"/>
        <v>-1369.1295612049998</v>
      </c>
      <c r="AB22" s="38">
        <f t="shared" si="1"/>
        <v>-753.02125866275003</v>
      </c>
      <c r="AC22" s="38">
        <f t="shared" si="13"/>
        <v>147953.02125866275</v>
      </c>
      <c r="AD22" s="127"/>
      <c r="AE22" s="127"/>
      <c r="AF22" s="69"/>
      <c r="AG22" s="69"/>
      <c r="AH22" s="69"/>
      <c r="AI22" s="69"/>
      <c r="AJ22" s="69"/>
      <c r="AK22" s="71"/>
      <c r="AL22" s="71"/>
      <c r="AM22" s="71"/>
      <c r="AN22" s="71"/>
      <c r="AO22" s="71"/>
      <c r="AP22" s="71"/>
      <c r="AQ22" s="71"/>
      <c r="AR22" s="71"/>
      <c r="AS22" s="71"/>
      <c r="AT22" s="71"/>
      <c r="AU22" s="71"/>
      <c r="AV22" s="69"/>
      <c r="AW22" s="141" t="s">
        <v>267</v>
      </c>
      <c r="AX22" s="126" t="s">
        <v>266</v>
      </c>
      <c r="AY22" s="126">
        <v>1900</v>
      </c>
      <c r="AZ22" s="146" t="s">
        <v>257</v>
      </c>
      <c r="BA22" s="126">
        <v>150</v>
      </c>
      <c r="BB22" s="146" t="s">
        <v>257</v>
      </c>
      <c r="BC22" s="69" t="s">
        <v>275</v>
      </c>
      <c r="BD22" s="69"/>
      <c r="BE22" s="69"/>
      <c r="BF22" s="69"/>
      <c r="BG22" s="69"/>
      <c r="BH22" s="69"/>
      <c r="BI22" s="69"/>
      <c r="BJ22" s="69"/>
      <c r="BK22" s="69"/>
      <c r="BL22" s="69"/>
      <c r="BM22" s="69"/>
      <c r="BN22" s="69"/>
      <c r="BO22" s="69"/>
      <c r="BP22" s="69"/>
      <c r="BQ22" s="69"/>
      <c r="BR22" s="69"/>
      <c r="BS22" s="69"/>
      <c r="BT22" s="69"/>
      <c r="BU22" s="69"/>
      <c r="BV22" s="69"/>
      <c r="BW22" s="69"/>
      <c r="BX22" s="69"/>
      <c r="BY22" s="69">
        <v>7</v>
      </c>
      <c r="BZ22" s="69" t="s">
        <v>114</v>
      </c>
      <c r="CA22" s="69"/>
      <c r="CB22" s="69"/>
      <c r="CC22" s="69"/>
      <c r="CD22" s="69"/>
      <c r="CE22" s="69"/>
      <c r="CF22" s="69"/>
      <c r="CG22" s="69"/>
      <c r="CH22" s="69"/>
      <c r="CI22" s="69"/>
      <c r="CJ22" s="69"/>
      <c r="CK22" s="69"/>
      <c r="CL22" s="69"/>
      <c r="CM22" s="69"/>
      <c r="CN22" s="69"/>
      <c r="CO22" s="69"/>
      <c r="CP22" s="69"/>
      <c r="CQ22" s="69"/>
      <c r="CR22" s="69"/>
      <c r="CS22" s="69"/>
      <c r="CT22" s="69"/>
      <c r="CU22" s="69"/>
      <c r="CV22" s="69"/>
      <c r="CW22" s="69"/>
    </row>
    <row r="23" spans="1:101" ht="19.5" x14ac:dyDescent="0.35">
      <c r="A23" s="71"/>
      <c r="B23" s="72"/>
      <c r="C23" s="41"/>
      <c r="D23" s="38" t="s">
        <v>140</v>
      </c>
      <c r="E23" s="44">
        <f>26.8224/3.5</f>
        <v>7.6635428571428568</v>
      </c>
      <c r="F23" s="41"/>
      <c r="G23" s="105"/>
      <c r="H23" s="38"/>
      <c r="I23" s="109">
        <v>6</v>
      </c>
      <c r="J23" s="38">
        <v>1</v>
      </c>
      <c r="K23" s="38">
        <v>1</v>
      </c>
      <c r="L23" s="38">
        <v>21</v>
      </c>
      <c r="M23" s="103">
        <v>-0.5</v>
      </c>
      <c r="N23" s="38">
        <f>(M23/7.6635)*100</f>
        <v>-6.5244340053500354</v>
      </c>
      <c r="O23" s="38">
        <f t="shared" si="14"/>
        <v>5.0000000000000044E-2</v>
      </c>
      <c r="P23" s="38">
        <f t="shared" si="2"/>
        <v>0.1118500000000001</v>
      </c>
      <c r="Q23" s="38">
        <f t="shared" si="10"/>
        <v>5.0000000000000044E-2</v>
      </c>
      <c r="R23" s="93">
        <f t="shared" si="15"/>
        <v>183.09</v>
      </c>
      <c r="S23" s="103">
        <v>-8.0478462473115151</v>
      </c>
      <c r="T23" s="97">
        <f t="shared" si="12"/>
        <v>-7.0000000000000053E-3</v>
      </c>
      <c r="U23" s="93">
        <f>U22+T23</f>
        <v>18.575975844290639</v>
      </c>
      <c r="V23" s="93">
        <f t="shared" si="3"/>
        <v>-8.0478462473115151</v>
      </c>
      <c r="W23" s="38">
        <f t="shared" si="4"/>
        <v>-362.5</v>
      </c>
      <c r="X23" s="38">
        <f t="shared" si="5"/>
        <v>8.7139500000000148E-4</v>
      </c>
      <c r="Y23" s="38">
        <f t="shared" si="6"/>
        <v>568.98</v>
      </c>
      <c r="Z23" s="38">
        <f t="shared" si="7"/>
        <v>-995.71499999999992</v>
      </c>
      <c r="AA23" s="38">
        <f t="shared" si="8"/>
        <v>-789.23412860499991</v>
      </c>
      <c r="AB23" s="38">
        <f t="shared" si="1"/>
        <v>-39.461706430250032</v>
      </c>
      <c r="AC23" s="38">
        <f t="shared" si="13"/>
        <v>147239.46170643024</v>
      </c>
      <c r="AD23" s="127"/>
      <c r="AE23" s="127"/>
      <c r="AF23" s="69"/>
      <c r="AG23" s="69"/>
      <c r="AH23" s="69"/>
      <c r="AI23" s="69"/>
      <c r="AJ23" s="69"/>
      <c r="AK23" s="71"/>
      <c r="AL23" s="71"/>
      <c r="AM23" s="71"/>
      <c r="AN23" s="71"/>
      <c r="AO23" s="71"/>
      <c r="AP23" s="71"/>
      <c r="AQ23" s="71"/>
      <c r="AR23" s="71"/>
      <c r="AS23" s="71"/>
      <c r="AT23" s="71"/>
      <c r="AU23" s="71"/>
      <c r="AV23" s="69"/>
      <c r="AW23" s="142" t="s">
        <v>268</v>
      </c>
      <c r="AX23" s="140" t="s">
        <v>302</v>
      </c>
      <c r="AY23" s="126">
        <v>400</v>
      </c>
      <c r="AZ23" s="146" t="s">
        <v>270</v>
      </c>
      <c r="BA23" s="126">
        <v>52</v>
      </c>
      <c r="BB23" s="126"/>
      <c r="BC23" s="69" t="s">
        <v>275</v>
      </c>
      <c r="BD23" s="69"/>
      <c r="BE23" s="69"/>
      <c r="BF23" s="69"/>
      <c r="BG23" s="69"/>
      <c r="BH23" s="69"/>
      <c r="BI23" s="69"/>
      <c r="BJ23" s="69"/>
      <c r="BK23" s="69"/>
      <c r="BL23" s="69"/>
      <c r="BM23" s="69"/>
      <c r="BN23" s="110" t="s">
        <v>220</v>
      </c>
      <c r="BO23" s="69"/>
      <c r="BP23" s="69"/>
      <c r="BQ23" s="69"/>
      <c r="BR23" s="69"/>
      <c r="BS23" s="69"/>
      <c r="BT23" s="69"/>
      <c r="BU23" s="69"/>
      <c r="BV23" s="69"/>
      <c r="BW23" s="69"/>
      <c r="BX23" s="69"/>
      <c r="BY23" s="69">
        <v>8</v>
      </c>
      <c r="BZ23" s="133" t="s">
        <v>276</v>
      </c>
      <c r="CA23" s="69"/>
      <c r="CB23" s="69"/>
      <c r="CC23" s="69"/>
      <c r="CD23" s="69"/>
      <c r="CE23" s="69"/>
      <c r="CF23" s="69"/>
      <c r="CG23" s="69"/>
      <c r="CH23" s="69"/>
      <c r="CI23" s="69"/>
      <c r="CJ23" s="69"/>
      <c r="CK23" s="69"/>
      <c r="CL23" s="69"/>
      <c r="CM23" s="69"/>
      <c r="CN23" s="69"/>
      <c r="CO23" s="69"/>
      <c r="CP23" s="69"/>
      <c r="CQ23" s="69"/>
      <c r="CR23" s="69"/>
      <c r="CS23" s="69"/>
      <c r="CT23" s="69"/>
      <c r="CU23" s="69"/>
      <c r="CV23" s="69"/>
      <c r="CW23" s="69"/>
    </row>
    <row r="24" spans="1:101" ht="19.5" x14ac:dyDescent="0.35">
      <c r="A24" s="71"/>
      <c r="B24" s="72"/>
      <c r="C24" s="41"/>
      <c r="D24" s="38" t="s">
        <v>89</v>
      </c>
      <c r="E24" s="40" t="s">
        <v>67</v>
      </c>
      <c r="F24" s="41"/>
      <c r="G24" s="105"/>
      <c r="H24" s="38"/>
      <c r="I24" s="109">
        <v>6</v>
      </c>
      <c r="J24" s="38">
        <v>1</v>
      </c>
      <c r="K24" s="38">
        <v>1</v>
      </c>
      <c r="L24" s="38">
        <v>22</v>
      </c>
      <c r="M24" s="103">
        <v>0.20100000000000001</v>
      </c>
      <c r="N24" s="38">
        <f>(M24/7.6635)*100</f>
        <v>2.6228224701507146</v>
      </c>
      <c r="O24" s="38">
        <f t="shared" si="14"/>
        <v>0.25100000000000006</v>
      </c>
      <c r="P24" s="38">
        <f t="shared" si="2"/>
        <v>0.56148700000000018</v>
      </c>
      <c r="Q24" s="38">
        <f t="shared" si="10"/>
        <v>0.25100000000000006</v>
      </c>
      <c r="R24" s="93">
        <f t="shared" si="15"/>
        <v>183.34100000000001</v>
      </c>
      <c r="S24" s="103">
        <v>-8.0478462473115151</v>
      </c>
      <c r="T24" s="97">
        <f t="shared" si="12"/>
        <v>-3.5140000000000005E-2</v>
      </c>
      <c r="U24" s="93">
        <f t="shared" si="16"/>
        <v>18.54083584429064</v>
      </c>
      <c r="V24" s="93">
        <f t="shared" si="3"/>
        <v>-8.0478462473115151</v>
      </c>
      <c r="W24" s="38">
        <f t="shared" si="4"/>
        <v>145.72500000000002</v>
      </c>
      <c r="X24" s="38">
        <f t="shared" si="5"/>
        <v>2.195950255800001E-2</v>
      </c>
      <c r="Y24" s="38">
        <f t="shared" si="6"/>
        <v>568.98</v>
      </c>
      <c r="Z24" s="38">
        <f t="shared" si="7"/>
        <v>-995.71499999999992</v>
      </c>
      <c r="AA24" s="38">
        <f t="shared" si="8"/>
        <v>-280.98804049744183</v>
      </c>
      <c r="AB24" s="38">
        <f t="shared" si="1"/>
        <v>-70.52799816485792</v>
      </c>
      <c r="AC24" s="38">
        <f t="shared" si="13"/>
        <v>147270.52799816485</v>
      </c>
      <c r="AD24" s="127"/>
      <c r="AE24" s="127"/>
      <c r="AF24" s="69"/>
      <c r="AG24" s="69"/>
      <c r="AH24" s="69"/>
      <c r="AI24" s="69"/>
      <c r="AJ24" s="69"/>
      <c r="AK24" s="71"/>
      <c r="AL24" s="71"/>
      <c r="AM24" s="71"/>
      <c r="AN24" s="71"/>
      <c r="AO24" s="71"/>
      <c r="AP24" s="71"/>
      <c r="AQ24" s="71"/>
      <c r="AR24" s="71"/>
      <c r="AS24" s="71"/>
      <c r="AT24" s="71"/>
      <c r="AU24" s="71"/>
      <c r="AV24" s="69"/>
      <c r="AW24" s="143" t="s">
        <v>272</v>
      </c>
      <c r="AX24" s="38" t="s">
        <v>271</v>
      </c>
      <c r="AY24" s="38">
        <v>2500</v>
      </c>
      <c r="AZ24" s="78" t="s">
        <v>277</v>
      </c>
      <c r="BA24" s="38">
        <v>107</v>
      </c>
      <c r="BB24" s="78" t="s">
        <v>274</v>
      </c>
      <c r="BC24" s="69" t="s">
        <v>275</v>
      </c>
      <c r="BD24" s="69"/>
      <c r="BE24" s="69"/>
      <c r="BF24" s="69"/>
      <c r="BG24" s="69"/>
      <c r="BH24" s="69"/>
      <c r="BI24" s="69"/>
      <c r="BJ24" s="69"/>
      <c r="BK24" s="69"/>
      <c r="BL24" s="69"/>
      <c r="BM24" s="69"/>
      <c r="BN24" s="69"/>
      <c r="BO24" s="69"/>
      <c r="BP24" s="69"/>
      <c r="BQ24" s="69"/>
      <c r="BR24" s="69"/>
      <c r="BS24" s="69"/>
      <c r="BT24" s="69"/>
      <c r="BU24" s="69"/>
      <c r="BV24" s="69"/>
      <c r="BW24" s="69"/>
      <c r="BX24" s="69"/>
      <c r="BY24" s="69">
        <v>8</v>
      </c>
      <c r="BZ24" s="69" t="s">
        <v>276</v>
      </c>
      <c r="CA24" s="69"/>
      <c r="CB24" s="69"/>
      <c r="CC24" s="69"/>
      <c r="CD24" s="69"/>
      <c r="CE24" s="69"/>
      <c r="CF24" s="69"/>
      <c r="CG24" s="69"/>
      <c r="CH24" s="69"/>
      <c r="CI24" s="69"/>
      <c r="CJ24" s="69"/>
      <c r="CK24" s="69"/>
      <c r="CL24" s="69"/>
      <c r="CM24" s="69"/>
      <c r="CN24" s="69"/>
      <c r="CO24" s="69"/>
      <c r="CP24" s="69"/>
      <c r="CQ24" s="69"/>
      <c r="CR24" s="69"/>
      <c r="CS24" s="69"/>
      <c r="CT24" s="69"/>
      <c r="CU24" s="69"/>
      <c r="CV24" s="69"/>
      <c r="CW24" s="69"/>
    </row>
    <row r="25" spans="1:101" ht="19.5" x14ac:dyDescent="0.35">
      <c r="A25" s="71"/>
      <c r="B25" s="72"/>
      <c r="C25" s="41"/>
      <c r="D25" s="38" t="s">
        <v>71</v>
      </c>
      <c r="E25" s="40" t="s">
        <v>68</v>
      </c>
      <c r="F25" s="41"/>
      <c r="G25" s="105"/>
      <c r="H25" s="38"/>
      <c r="I25" s="109">
        <v>6</v>
      </c>
      <c r="J25" s="38">
        <v>1</v>
      </c>
      <c r="K25" s="38">
        <v>1</v>
      </c>
      <c r="L25" s="38">
        <v>23</v>
      </c>
      <c r="M25" s="103">
        <v>0.37</v>
      </c>
      <c r="N25" s="38">
        <f t="shared" si="9"/>
        <v>4.828081163959026</v>
      </c>
      <c r="O25" s="38">
        <f t="shared" si="14"/>
        <v>0.621</v>
      </c>
      <c r="P25" s="38">
        <f t="shared" si="2"/>
        <v>1.3891770000000001</v>
      </c>
      <c r="Q25" s="38">
        <f t="shared" si="10"/>
        <v>0.621</v>
      </c>
      <c r="R25" s="93">
        <f t="shared" si="15"/>
        <v>183.96200000000002</v>
      </c>
      <c r="S25" s="103">
        <v>-8.0478462473115151</v>
      </c>
      <c r="T25" s="97">
        <f t="shared" si="12"/>
        <v>-8.693999999999999E-2</v>
      </c>
      <c r="U25" s="93">
        <f t="shared" si="16"/>
        <v>18.453895844290642</v>
      </c>
      <c r="V25" s="93">
        <f t="shared" si="3"/>
        <v>-8.0478462473115151</v>
      </c>
      <c r="W25" s="38">
        <f t="shared" si="4"/>
        <v>268.25</v>
      </c>
      <c r="X25" s="38">
        <f t="shared" si="5"/>
        <v>0.134418255678</v>
      </c>
      <c r="Y25" s="38">
        <f t="shared" si="6"/>
        <v>568.98</v>
      </c>
      <c r="Z25" s="38">
        <f t="shared" si="7"/>
        <v>-995.71499999999992</v>
      </c>
      <c r="AA25" s="38">
        <f t="shared" si="8"/>
        <v>-158.35058174432186</v>
      </c>
      <c r="AB25" s="38">
        <f t="shared" si="1"/>
        <v>-98.335711263223871</v>
      </c>
      <c r="AC25" s="38">
        <f t="shared" si="13"/>
        <v>147298.33571126324</v>
      </c>
      <c r="AD25" s="127"/>
      <c r="AE25" s="127"/>
      <c r="AF25" s="69"/>
      <c r="AG25" s="69"/>
      <c r="AH25" s="69"/>
      <c r="AI25" s="69"/>
      <c r="AJ25" s="69"/>
      <c r="AK25" s="71"/>
      <c r="AL25" s="71"/>
      <c r="AM25" s="71"/>
      <c r="AN25" s="71"/>
      <c r="AO25" s="71"/>
      <c r="AP25" s="71"/>
      <c r="AQ25" s="71"/>
      <c r="AR25" s="71"/>
      <c r="AS25" s="71"/>
      <c r="AT25" s="71"/>
      <c r="AU25" s="71"/>
      <c r="AV25" s="69"/>
      <c r="AW25" s="143" t="s">
        <v>279</v>
      </c>
      <c r="AX25" s="38" t="s">
        <v>280</v>
      </c>
      <c r="AY25" s="38">
        <v>7700</v>
      </c>
      <c r="AZ25" s="78" t="s">
        <v>114</v>
      </c>
      <c r="BA25" s="38">
        <v>39</v>
      </c>
      <c r="BB25" s="78" t="s">
        <v>114</v>
      </c>
      <c r="BC25" s="69" t="s">
        <v>275</v>
      </c>
      <c r="BD25" s="69"/>
      <c r="BE25" s="69"/>
      <c r="BF25" s="69"/>
      <c r="BG25" s="69"/>
      <c r="BH25" s="69"/>
      <c r="BI25" s="69"/>
      <c r="BJ25" s="69"/>
      <c r="BK25" s="69"/>
      <c r="BL25" s="69"/>
      <c r="BM25" s="69"/>
      <c r="BN25" s="69"/>
      <c r="BO25" s="69"/>
      <c r="BP25" s="69"/>
      <c r="BQ25" s="69"/>
      <c r="BR25" s="69"/>
      <c r="BS25" s="69"/>
      <c r="BT25" s="69"/>
      <c r="BU25" s="69"/>
      <c r="BV25" s="69"/>
      <c r="BW25" s="69"/>
      <c r="BX25" s="69"/>
      <c r="BY25" s="69" t="s">
        <v>284</v>
      </c>
      <c r="BZ25" s="69" t="s">
        <v>273</v>
      </c>
      <c r="CA25" s="69"/>
      <c r="CB25" s="69"/>
      <c r="CC25" s="69"/>
      <c r="CD25" s="69"/>
      <c r="CE25" s="69"/>
      <c r="CF25" s="69"/>
      <c r="CG25" s="69"/>
      <c r="CH25" s="69"/>
      <c r="CI25" s="69"/>
      <c r="CJ25" s="69"/>
      <c r="CK25" s="69"/>
      <c r="CL25" s="69"/>
      <c r="CM25" s="69"/>
      <c r="CN25" s="69"/>
      <c r="CO25" s="69"/>
      <c r="CP25" s="69"/>
      <c r="CQ25" s="69"/>
      <c r="CR25" s="69"/>
      <c r="CS25" s="69"/>
      <c r="CT25" s="69"/>
      <c r="CU25" s="69"/>
      <c r="CV25" s="69"/>
      <c r="CW25" s="69"/>
    </row>
    <row r="26" spans="1:101" ht="19.5" x14ac:dyDescent="0.35">
      <c r="A26" s="71"/>
      <c r="B26" s="72"/>
      <c r="C26" s="41"/>
      <c r="D26" s="38" t="s">
        <v>193</v>
      </c>
      <c r="E26" s="40" t="s">
        <v>113</v>
      </c>
      <c r="F26" s="41"/>
      <c r="G26" s="105"/>
      <c r="H26" s="38"/>
      <c r="I26" s="109">
        <v>6</v>
      </c>
      <c r="J26" s="38">
        <v>1</v>
      </c>
      <c r="K26" s="38">
        <v>1</v>
      </c>
      <c r="L26" s="38">
        <v>24</v>
      </c>
      <c r="M26" s="103">
        <v>0.4</v>
      </c>
      <c r="N26" s="38">
        <f t="shared" si="9"/>
        <v>5.2195472042800288</v>
      </c>
      <c r="O26" s="38">
        <f t="shared" si="14"/>
        <v>1.0209999999999999</v>
      </c>
      <c r="P26" s="38">
        <f t="shared" si="2"/>
        <v>2.2839769999999997</v>
      </c>
      <c r="Q26" s="38">
        <f t="shared" si="10"/>
        <v>1.0209999999999999</v>
      </c>
      <c r="R26" s="93">
        <f t="shared" si="15"/>
        <v>184.983</v>
      </c>
      <c r="S26" s="103">
        <v>-8.0478462473115151</v>
      </c>
      <c r="T26" s="97">
        <f t="shared" si="12"/>
        <v>-0.14293999999999998</v>
      </c>
      <c r="U26" s="93">
        <f t="shared" si="16"/>
        <v>18.310955844290643</v>
      </c>
      <c r="V26" s="93">
        <f t="shared" si="3"/>
        <v>-8.0478462473115151</v>
      </c>
      <c r="W26" s="38">
        <f t="shared" si="4"/>
        <v>290</v>
      </c>
      <c r="X26" s="38">
        <f t="shared" si="5"/>
        <v>0.3633511500779999</v>
      </c>
      <c r="Y26" s="38">
        <f t="shared" si="6"/>
        <v>568.98</v>
      </c>
      <c r="Z26" s="38">
        <f t="shared" si="7"/>
        <v>-995.71499999999992</v>
      </c>
      <c r="AA26" s="38">
        <f t="shared" si="8"/>
        <v>-136.37164884992194</v>
      </c>
      <c r="AB26" s="38">
        <f t="shared" si="1"/>
        <v>-139.2354534757703</v>
      </c>
      <c r="AC26" s="38">
        <f t="shared" si="13"/>
        <v>147339.23545347576</v>
      </c>
      <c r="AD26" s="127"/>
      <c r="AE26" s="127"/>
      <c r="AF26" s="69"/>
      <c r="AG26" s="69"/>
      <c r="AH26" s="69"/>
      <c r="AI26" s="69"/>
      <c r="AJ26" s="69"/>
      <c r="AK26" s="71"/>
      <c r="AL26" s="71"/>
      <c r="AM26" s="71"/>
      <c r="AN26" s="71"/>
      <c r="AO26" s="71"/>
      <c r="AP26" s="71"/>
      <c r="AQ26" s="71"/>
      <c r="AR26" s="71"/>
      <c r="AS26" s="71"/>
      <c r="AT26" s="71"/>
      <c r="AU26" s="71"/>
      <c r="AV26" s="69"/>
      <c r="AW26" s="69"/>
      <c r="AX26" s="69"/>
      <c r="AY26" s="145">
        <f>SUM(AY19:AY23)</f>
        <v>26500</v>
      </c>
      <c r="AZ26" s="127"/>
      <c r="BA26" s="122">
        <f>SUM(BA19:BA23)</f>
        <v>278.60000000000002</v>
      </c>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v>4</v>
      </c>
      <c r="BZ26" s="69" t="s">
        <v>257</v>
      </c>
      <c r="CA26" s="69"/>
      <c r="CB26" s="69"/>
      <c r="CC26" s="69"/>
      <c r="CD26" s="69"/>
      <c r="CE26" s="69"/>
      <c r="CF26" s="69"/>
      <c r="CG26" s="69"/>
      <c r="CH26" s="69"/>
      <c r="CI26" s="69"/>
      <c r="CJ26" s="69"/>
      <c r="CK26" s="69"/>
      <c r="CL26" s="69"/>
      <c r="CM26" s="69"/>
      <c r="CN26" s="69"/>
      <c r="CO26" s="69"/>
      <c r="CP26" s="69"/>
      <c r="CQ26" s="69"/>
      <c r="CR26" s="69"/>
      <c r="CS26" s="69"/>
      <c r="CT26" s="69"/>
      <c r="CU26" s="69"/>
      <c r="CV26" s="69"/>
      <c r="CW26" s="69"/>
    </row>
    <row r="27" spans="1:101" ht="19.5" x14ac:dyDescent="0.35">
      <c r="A27" s="71"/>
      <c r="B27" s="72"/>
      <c r="C27" s="41"/>
      <c r="D27" s="38" t="s">
        <v>74</v>
      </c>
      <c r="E27" s="40" t="s">
        <v>72</v>
      </c>
      <c r="F27" s="77"/>
      <c r="G27" s="106"/>
      <c r="H27" s="38"/>
      <c r="I27" s="109">
        <v>7</v>
      </c>
      <c r="J27" s="38">
        <v>1</v>
      </c>
      <c r="K27" s="38">
        <v>1</v>
      </c>
      <c r="L27" s="98">
        <v>25</v>
      </c>
      <c r="M27" s="103">
        <v>0.4</v>
      </c>
      <c r="N27" s="38">
        <f t="shared" si="9"/>
        <v>5.2195472042800288</v>
      </c>
      <c r="O27" s="38">
        <f t="shared" si="14"/>
        <v>1.4209999999999998</v>
      </c>
      <c r="P27" s="38">
        <f t="shared" si="2"/>
        <v>3.1787769999999997</v>
      </c>
      <c r="Q27" s="38">
        <f t="shared" si="10"/>
        <v>1.4209999999999998</v>
      </c>
      <c r="R27" s="100">
        <f t="shared" si="15"/>
        <v>186.404</v>
      </c>
      <c r="S27" s="103">
        <v>-14.477512185929925</v>
      </c>
      <c r="T27" s="97">
        <f t="shared" si="12"/>
        <v>-0.35524999999999995</v>
      </c>
      <c r="U27" s="100">
        <f t="shared" si="16"/>
        <v>17.955705844290641</v>
      </c>
      <c r="V27" s="93">
        <f t="shared" si="3"/>
        <v>-14.477512185929925</v>
      </c>
      <c r="W27" s="38">
        <f t="shared" si="4"/>
        <v>290</v>
      </c>
      <c r="X27" s="38">
        <f t="shared" si="5"/>
        <v>0.70382260447799982</v>
      </c>
      <c r="Y27" s="38">
        <f t="shared" si="6"/>
        <v>568.98</v>
      </c>
      <c r="Z27" s="38">
        <f t="shared" si="7"/>
        <v>-1778.0625</v>
      </c>
      <c r="AA27" s="38">
        <f t="shared" si="8"/>
        <v>-918.37867739552212</v>
      </c>
      <c r="AB27" s="38">
        <f t="shared" si="1"/>
        <v>-1305.0161005790367</v>
      </c>
      <c r="AC27" s="38">
        <f t="shared" si="13"/>
        <v>148505.01610057903</v>
      </c>
      <c r="AD27" s="127"/>
      <c r="AE27" s="127"/>
      <c r="AF27" s="69"/>
      <c r="AG27" s="69"/>
      <c r="AH27" s="69"/>
      <c r="AI27" s="69"/>
      <c r="AJ27" s="69"/>
      <c r="AK27" s="71"/>
      <c r="AL27" s="71"/>
      <c r="AM27" s="71"/>
      <c r="AN27" s="71"/>
      <c r="AO27" s="71"/>
      <c r="AP27" s="71"/>
      <c r="AQ27" s="71"/>
      <c r="AR27" s="71"/>
      <c r="AS27" s="71"/>
      <c r="AT27" s="71"/>
      <c r="AU27" s="71"/>
      <c r="AV27" s="69"/>
      <c r="AW27" s="69"/>
      <c r="AX27" s="69"/>
      <c r="AY27" s="147">
        <f>AY26-(SUM(AY24:AY25))</f>
        <v>16300</v>
      </c>
      <c r="AZ27" s="69"/>
      <c r="BA27" s="148">
        <f>BA26-(SUM(BA24:BA25))</f>
        <v>132.60000000000002</v>
      </c>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v>9</v>
      </c>
      <c r="BZ27" s="69" t="s">
        <v>270</v>
      </c>
      <c r="CA27" s="69"/>
      <c r="CB27" s="69"/>
      <c r="CC27" s="69"/>
      <c r="CD27" s="69"/>
      <c r="CE27" s="69"/>
      <c r="CF27" s="69"/>
      <c r="CG27" s="69"/>
      <c r="CH27" s="69"/>
      <c r="CI27" s="69"/>
      <c r="CJ27" s="69"/>
      <c r="CK27" s="69"/>
      <c r="CL27" s="69"/>
      <c r="CM27" s="69"/>
      <c r="CN27" s="69"/>
      <c r="CO27" s="69"/>
      <c r="CP27" s="69"/>
      <c r="CQ27" s="69"/>
      <c r="CR27" s="69"/>
      <c r="CS27" s="69"/>
      <c r="CT27" s="69"/>
      <c r="CU27" s="69"/>
      <c r="CV27" s="69"/>
      <c r="CW27" s="69"/>
    </row>
    <row r="28" spans="1:101" ht="19.5" x14ac:dyDescent="0.35">
      <c r="A28" s="71"/>
      <c r="B28" s="72"/>
      <c r="C28" s="41"/>
      <c r="D28" s="38" t="s">
        <v>194</v>
      </c>
      <c r="E28" s="38" t="s">
        <v>290</v>
      </c>
      <c r="F28" s="71"/>
      <c r="G28" s="58"/>
      <c r="H28" s="38"/>
      <c r="I28" s="109">
        <v>7</v>
      </c>
      <c r="J28" s="38">
        <v>1</v>
      </c>
      <c r="K28" s="38">
        <v>1</v>
      </c>
      <c r="L28" s="38">
        <v>26</v>
      </c>
      <c r="M28" s="103">
        <v>2.3E-2</v>
      </c>
      <c r="N28" s="38">
        <f t="shared" si="9"/>
        <v>0.30012396424610166</v>
      </c>
      <c r="O28" s="38">
        <f t="shared" si="14"/>
        <v>1.4439999999999997</v>
      </c>
      <c r="P28" s="38">
        <f t="shared" si="2"/>
        <v>3.2302279999999994</v>
      </c>
      <c r="Q28" s="38">
        <f t="shared" si="10"/>
        <v>1.4439999999999997</v>
      </c>
      <c r="R28" s="93">
        <f t="shared" si="15"/>
        <v>187.84799999999998</v>
      </c>
      <c r="S28" s="103">
        <v>-14.477512185929925</v>
      </c>
      <c r="T28" s="97">
        <f t="shared" si="12"/>
        <v>-0.36099999999999993</v>
      </c>
      <c r="U28" s="93">
        <f t="shared" si="16"/>
        <v>17.59470584429064</v>
      </c>
      <c r="V28" s="93">
        <f t="shared" si="3"/>
        <v>-14.477512185929925</v>
      </c>
      <c r="W28" s="38">
        <f t="shared" si="4"/>
        <v>16.675000000000001</v>
      </c>
      <c r="X28" s="38">
        <f t="shared" si="5"/>
        <v>0.72679083388799981</v>
      </c>
      <c r="Y28" s="38">
        <f t="shared" si="6"/>
        <v>568.98</v>
      </c>
      <c r="Z28" s="38">
        <f t="shared" si="7"/>
        <v>-1778.0625</v>
      </c>
      <c r="AA28" s="38">
        <f t="shared" si="8"/>
        <v>-1191.6807091661119</v>
      </c>
      <c r="AB28" s="38">
        <f t="shared" si="1"/>
        <v>-1720.7869440358652</v>
      </c>
      <c r="AC28" s="38">
        <f t="shared" si="13"/>
        <v>148920.78694403588</v>
      </c>
      <c r="AD28" s="127"/>
      <c r="AE28" s="127"/>
      <c r="AF28" s="69"/>
      <c r="AG28" s="69"/>
      <c r="AH28" s="69"/>
      <c r="AI28" s="69"/>
      <c r="AJ28" s="69"/>
      <c r="AK28" s="71"/>
      <c r="AL28" s="71"/>
      <c r="AM28" s="71"/>
      <c r="AN28" s="71"/>
      <c r="AO28" s="71"/>
      <c r="AP28" s="71"/>
      <c r="AQ28" s="71"/>
      <c r="AR28" s="71"/>
      <c r="AS28" s="71"/>
      <c r="AT28" s="71"/>
      <c r="AU28" s="71"/>
      <c r="AV28" s="69"/>
      <c r="AW28" s="69"/>
      <c r="AX28" s="69"/>
      <c r="AY28" s="127"/>
      <c r="AZ28" s="69"/>
      <c r="BA28" s="127"/>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v>10</v>
      </c>
      <c r="BZ28" s="69" t="s">
        <v>277</v>
      </c>
      <c r="CA28" s="69"/>
      <c r="CB28" s="69"/>
      <c r="CC28" s="69"/>
      <c r="CD28" s="69"/>
      <c r="CE28" s="69"/>
      <c r="CF28" s="69"/>
      <c r="CG28" s="69"/>
      <c r="CH28" s="69"/>
      <c r="CI28" s="69"/>
      <c r="CJ28" s="69"/>
      <c r="CK28" s="69"/>
      <c r="CL28" s="69"/>
      <c r="CM28" s="69"/>
      <c r="CN28" s="69"/>
      <c r="CO28" s="69"/>
      <c r="CP28" s="69"/>
      <c r="CQ28" s="69"/>
      <c r="CR28" s="69"/>
      <c r="CS28" s="69"/>
      <c r="CT28" s="69"/>
      <c r="CU28" s="69"/>
      <c r="CV28" s="69"/>
      <c r="CW28" s="69"/>
    </row>
    <row r="29" spans="1:101" ht="19.5" x14ac:dyDescent="0.35">
      <c r="A29" s="71"/>
      <c r="B29" s="72"/>
      <c r="C29" s="41"/>
      <c r="D29" s="71"/>
      <c r="E29" s="71"/>
      <c r="F29" s="71"/>
      <c r="G29" s="69"/>
      <c r="H29" s="38"/>
      <c r="I29" s="109">
        <v>7</v>
      </c>
      <c r="J29" s="38">
        <v>1</v>
      </c>
      <c r="K29" s="38">
        <v>1</v>
      </c>
      <c r="L29" s="38">
        <v>27</v>
      </c>
      <c r="M29" s="103">
        <v>2.3E-2</v>
      </c>
      <c r="N29" s="38">
        <f t="shared" si="9"/>
        <v>0.30012396424610166</v>
      </c>
      <c r="O29" s="38">
        <f t="shared" si="14"/>
        <v>1.4669999999999996</v>
      </c>
      <c r="P29" s="38">
        <f t="shared" si="2"/>
        <v>3.2816789999999991</v>
      </c>
      <c r="Q29" s="38">
        <f t="shared" si="10"/>
        <v>1.4669999999999996</v>
      </c>
      <c r="R29" s="93">
        <f t="shared" si="15"/>
        <v>189.315</v>
      </c>
      <c r="S29" s="103">
        <v>-14.477512185929925</v>
      </c>
      <c r="T29" s="97">
        <f t="shared" si="12"/>
        <v>-0.36674999999999991</v>
      </c>
      <c r="U29" s="93">
        <f t="shared" si="16"/>
        <v>17.227955844290641</v>
      </c>
      <c r="V29" s="93">
        <f t="shared" si="3"/>
        <v>-14.477512185929925</v>
      </c>
      <c r="W29" s="38">
        <f t="shared" si="4"/>
        <v>16.675000000000001</v>
      </c>
      <c r="X29" s="38">
        <f t="shared" si="5"/>
        <v>0.75012783766199953</v>
      </c>
      <c r="Y29" s="38">
        <f t="shared" si="6"/>
        <v>568.98</v>
      </c>
      <c r="Z29" s="38">
        <f t="shared" si="7"/>
        <v>-1778.0625</v>
      </c>
      <c r="AA29" s="38">
        <f t="shared" si="8"/>
        <v>-1191.6573721623379</v>
      </c>
      <c r="AB29" s="38">
        <f t="shared" si="1"/>
        <v>-1748.1613649621493</v>
      </c>
      <c r="AC29" s="38">
        <f t="shared" si="13"/>
        <v>148948.16136496214</v>
      </c>
      <c r="AD29" s="127"/>
      <c r="AE29" s="127"/>
      <c r="AF29" s="69"/>
      <c r="AG29" s="69"/>
      <c r="AH29" s="69"/>
      <c r="AI29" s="69"/>
      <c r="AJ29" s="69"/>
      <c r="AK29" s="71"/>
      <c r="AL29" s="71"/>
      <c r="AM29" s="71"/>
      <c r="AN29" s="71"/>
      <c r="AO29" s="71"/>
      <c r="AP29" s="71"/>
      <c r="AQ29" s="71"/>
      <c r="AR29" s="71"/>
      <c r="AS29" s="71"/>
      <c r="AT29" s="71"/>
      <c r="AU29" s="71"/>
      <c r="AV29" s="69"/>
      <c r="AW29" s="127"/>
      <c r="AX29" s="127"/>
      <c r="AY29" s="69"/>
      <c r="AZ29" s="69"/>
      <c r="BA29" s="69"/>
      <c r="BB29" s="127"/>
      <c r="BC29" s="69"/>
      <c r="BD29" s="69"/>
      <c r="BE29" s="69"/>
      <c r="BF29" s="69"/>
      <c r="BG29" s="69"/>
      <c r="BH29" s="69"/>
      <c r="BI29" s="69"/>
      <c r="BJ29" s="69"/>
      <c r="BK29" s="69"/>
      <c r="BL29" s="69"/>
      <c r="BM29" s="69"/>
      <c r="BN29" s="69"/>
      <c r="BO29" s="69"/>
      <c r="BP29" s="69"/>
      <c r="BQ29" s="69"/>
      <c r="BR29" s="69"/>
      <c r="BS29" s="69"/>
      <c r="BT29" s="69"/>
      <c r="BU29" s="69"/>
      <c r="BV29" s="69"/>
      <c r="BW29" s="69"/>
      <c r="BX29" s="69"/>
      <c r="BY29" s="69">
        <v>7</v>
      </c>
      <c r="BZ29" s="69" t="s">
        <v>114</v>
      </c>
      <c r="CA29" s="69"/>
      <c r="CB29" s="69"/>
      <c r="CC29" s="69"/>
      <c r="CD29" s="69"/>
      <c r="CE29" s="69"/>
      <c r="CF29" s="69"/>
      <c r="CG29" s="69"/>
      <c r="CH29" s="69"/>
      <c r="CI29" s="69"/>
      <c r="CJ29" s="69"/>
      <c r="CK29" s="69"/>
      <c r="CL29" s="69"/>
      <c r="CM29" s="69"/>
      <c r="CN29" s="69"/>
      <c r="CO29" s="69"/>
      <c r="CP29" s="69"/>
      <c r="CQ29" s="69"/>
      <c r="CR29" s="69"/>
      <c r="CS29" s="69"/>
      <c r="CT29" s="69"/>
      <c r="CU29" s="69"/>
      <c r="CV29" s="69"/>
      <c r="CW29" s="69"/>
    </row>
    <row r="30" spans="1:101" ht="19.5" x14ac:dyDescent="0.35">
      <c r="A30" s="71"/>
      <c r="B30" s="72"/>
      <c r="C30" s="41"/>
      <c r="D30" s="71"/>
      <c r="E30" s="71"/>
      <c r="F30" s="71"/>
      <c r="G30" s="69"/>
      <c r="H30" s="38"/>
      <c r="I30" s="109">
        <v>7</v>
      </c>
      <c r="J30" s="38">
        <v>1</v>
      </c>
      <c r="K30" s="38">
        <v>1</v>
      </c>
      <c r="L30" s="38">
        <v>28</v>
      </c>
      <c r="M30" s="103">
        <v>1.2E-2</v>
      </c>
      <c r="N30" s="38">
        <f t="shared" si="9"/>
        <v>0.15658641612840085</v>
      </c>
      <c r="O30" s="38">
        <f t="shared" si="14"/>
        <v>1.4789999999999996</v>
      </c>
      <c r="P30" s="38">
        <f t="shared" si="2"/>
        <v>3.3085229999999992</v>
      </c>
      <c r="Q30" s="38">
        <f t="shared" si="10"/>
        <v>1.4789999999999996</v>
      </c>
      <c r="R30" s="93">
        <f t="shared" si="15"/>
        <v>190.79400000000001</v>
      </c>
      <c r="S30" s="103">
        <v>-14.477512185929925</v>
      </c>
      <c r="T30" s="97">
        <f t="shared" si="12"/>
        <v>-0.36974999999999991</v>
      </c>
      <c r="U30" s="93">
        <f t="shared" si="16"/>
        <v>16.858205844290641</v>
      </c>
      <c r="V30" s="93">
        <f t="shared" si="3"/>
        <v>-14.477512185929925</v>
      </c>
      <c r="W30" s="38">
        <f t="shared" si="4"/>
        <v>8.7000000000000011</v>
      </c>
      <c r="X30" s="38">
        <f t="shared" si="5"/>
        <v>0.76245006007799954</v>
      </c>
      <c r="Y30" s="38">
        <f t="shared" si="6"/>
        <v>568.98</v>
      </c>
      <c r="Z30" s="38">
        <f t="shared" si="7"/>
        <v>-1778.0625</v>
      </c>
      <c r="AA30" s="38">
        <f t="shared" si="8"/>
        <v>-1199.620049939922</v>
      </c>
      <c r="AB30" s="38">
        <f t="shared" si="1"/>
        <v>-1774.2380538611442</v>
      </c>
      <c r="AC30" s="38">
        <f t="shared" si="13"/>
        <v>148974.23805386113</v>
      </c>
      <c r="AD30" s="127"/>
      <c r="AE30" s="127"/>
      <c r="AF30" s="69"/>
      <c r="AG30" s="69"/>
      <c r="AH30" s="69"/>
      <c r="AI30" s="69"/>
      <c r="AJ30" s="69"/>
      <c r="AK30" s="71"/>
      <c r="AL30" s="71"/>
      <c r="AM30" s="71"/>
      <c r="AN30" s="71"/>
      <c r="AO30" s="71"/>
      <c r="AP30" s="71"/>
      <c r="AQ30" s="71"/>
      <c r="AR30" s="71"/>
      <c r="AS30" s="71"/>
      <c r="AT30" s="71"/>
      <c r="AU30" s="71"/>
      <c r="AV30" s="69"/>
      <c r="AW30" s="127"/>
      <c r="AX30" s="127"/>
      <c r="AY30" s="127"/>
      <c r="AZ30" s="127"/>
      <c r="BA30" s="127"/>
      <c r="BB30" s="127"/>
      <c r="BC30" s="69"/>
      <c r="BD30" s="69"/>
      <c r="BE30" s="69"/>
      <c r="BF30" s="69"/>
      <c r="BG30" s="69"/>
      <c r="BH30" s="69"/>
      <c r="BI30" s="69"/>
      <c r="BJ30" s="69"/>
      <c r="BK30" s="69"/>
      <c r="BL30" s="69"/>
      <c r="BM30" s="69"/>
      <c r="BN30" s="69"/>
      <c r="BO30" s="69"/>
      <c r="BP30" s="69"/>
      <c r="BQ30" s="69"/>
      <c r="BR30" s="69"/>
      <c r="BS30" s="69"/>
      <c r="BT30" s="69"/>
      <c r="BU30" s="69"/>
      <c r="BV30" s="69"/>
      <c r="BW30" s="69"/>
      <c r="BX30" s="69"/>
      <c r="BY30" s="69">
        <v>1</v>
      </c>
      <c r="BZ30" s="69" t="s">
        <v>221</v>
      </c>
      <c r="CA30" s="69"/>
      <c r="CB30" s="69"/>
      <c r="CC30" s="69"/>
      <c r="CD30" s="69"/>
      <c r="CE30" s="69"/>
      <c r="CF30" s="69"/>
      <c r="CG30" s="69"/>
      <c r="CH30" s="69"/>
      <c r="CI30" s="69"/>
      <c r="CJ30" s="69"/>
      <c r="CK30" s="69"/>
      <c r="CL30" s="69"/>
      <c r="CM30" s="69"/>
      <c r="CN30" s="69"/>
      <c r="CO30" s="69"/>
      <c r="CP30" s="69"/>
      <c r="CQ30" s="69"/>
      <c r="CR30" s="69"/>
      <c r="CS30" s="69"/>
      <c r="CT30" s="69"/>
      <c r="CU30" s="69"/>
      <c r="CV30" s="69"/>
      <c r="CW30" s="69"/>
    </row>
    <row r="31" spans="1:101" ht="19.5" x14ac:dyDescent="0.35">
      <c r="A31" s="33"/>
      <c r="B31" s="73"/>
      <c r="C31" s="41"/>
      <c r="D31" s="33"/>
      <c r="E31" s="33"/>
      <c r="F31" s="71"/>
      <c r="G31" s="34"/>
      <c r="H31" s="38"/>
      <c r="I31" s="109">
        <v>8</v>
      </c>
      <c r="J31" s="38">
        <v>1</v>
      </c>
      <c r="K31" s="38">
        <v>1</v>
      </c>
      <c r="L31" s="98">
        <v>29</v>
      </c>
      <c r="M31" s="103">
        <v>6.0000000000000001E-3</v>
      </c>
      <c r="N31" s="38">
        <f t="shared" si="9"/>
        <v>7.8293208064200426E-2</v>
      </c>
      <c r="O31" s="38">
        <f t="shared" si="14"/>
        <v>1.4849999999999997</v>
      </c>
      <c r="P31" s="38">
        <f t="shared" si="2"/>
        <v>3.3219449999999995</v>
      </c>
      <c r="Q31" s="38">
        <f t="shared" si="10"/>
        <v>1.4849999999999997</v>
      </c>
      <c r="R31" s="100">
        <f t="shared" si="15"/>
        <v>192.27900000000002</v>
      </c>
      <c r="S31" s="103">
        <v>0</v>
      </c>
      <c r="T31" s="97">
        <f>Q31*(SIN(RADIANS(S31)))</f>
        <v>0</v>
      </c>
      <c r="U31" s="100">
        <f t="shared" si="16"/>
        <v>16.858205844290641</v>
      </c>
      <c r="V31" s="93">
        <f t="shared" si="3"/>
        <v>0</v>
      </c>
      <c r="W31" s="38">
        <f t="shared" si="4"/>
        <v>4.3500000000000005</v>
      </c>
      <c r="X31" s="38">
        <f t="shared" si="5"/>
        <v>0.76864881554999964</v>
      </c>
      <c r="Y31" s="38">
        <f t="shared" si="6"/>
        <v>568.98</v>
      </c>
      <c r="Z31" s="38">
        <f t="shared" si="7"/>
        <v>0</v>
      </c>
      <c r="AA31" s="38">
        <f t="shared" si="8"/>
        <v>574.09864881555006</v>
      </c>
      <c r="AB31" s="38">
        <f t="shared" si="1"/>
        <v>852.53649349109162</v>
      </c>
      <c r="AC31" s="38">
        <f t="shared" si="13"/>
        <v>146347.46350650891</v>
      </c>
      <c r="AD31" s="127"/>
      <c r="AE31" s="127"/>
      <c r="AF31" s="69"/>
      <c r="AG31" s="69"/>
      <c r="AH31" s="69"/>
      <c r="AI31" s="69"/>
      <c r="AJ31" s="69"/>
      <c r="AK31" s="33"/>
      <c r="AL31" s="33"/>
      <c r="AM31" s="33"/>
      <c r="AN31" s="33"/>
      <c r="AO31" s="33"/>
      <c r="AP31" s="33"/>
      <c r="AQ31" s="33"/>
      <c r="AR31" s="33"/>
      <c r="AS31" s="33"/>
      <c r="AT31" s="33"/>
      <c r="AU31" s="33"/>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v>2</v>
      </c>
      <c r="BZ31" s="69" t="s">
        <v>229</v>
      </c>
      <c r="CA31" s="69"/>
      <c r="CB31" s="69"/>
      <c r="CC31" s="69"/>
      <c r="CD31" s="69"/>
      <c r="CE31" s="69"/>
      <c r="CF31" s="69"/>
      <c r="CG31" s="69"/>
      <c r="CH31" s="69"/>
      <c r="CI31" s="69"/>
      <c r="CJ31" s="69"/>
      <c r="CK31" s="69"/>
      <c r="CL31" s="69"/>
      <c r="CM31" s="69"/>
      <c r="CN31" s="69"/>
      <c r="CO31" s="69"/>
      <c r="CP31" s="69"/>
      <c r="CQ31" s="69"/>
      <c r="CR31" s="69"/>
      <c r="CS31" s="69"/>
      <c r="CT31" s="69"/>
      <c r="CU31" s="69"/>
      <c r="CV31" s="69"/>
      <c r="CW31" s="69"/>
    </row>
    <row r="32" spans="1:101" ht="19.5" x14ac:dyDescent="0.35">
      <c r="A32" s="33"/>
      <c r="B32" s="73"/>
      <c r="C32" s="41"/>
      <c r="D32" s="33"/>
      <c r="E32" s="33"/>
      <c r="F32" s="71"/>
      <c r="G32" s="34"/>
      <c r="H32" s="38"/>
      <c r="I32" s="109">
        <v>8</v>
      </c>
      <c r="J32" s="38">
        <v>1</v>
      </c>
      <c r="K32" s="38">
        <v>1</v>
      </c>
      <c r="L32" s="38">
        <v>30</v>
      </c>
      <c r="M32" s="103">
        <v>2.6</v>
      </c>
      <c r="N32" s="38">
        <f t="shared" si="9"/>
        <v>33.927056827820188</v>
      </c>
      <c r="O32" s="38">
        <f t="shared" si="14"/>
        <v>4.085</v>
      </c>
      <c r="P32" s="38">
        <f t="shared" si="2"/>
        <v>9.1381449999999997</v>
      </c>
      <c r="Q32" s="38">
        <f t="shared" si="10"/>
        <v>4.085</v>
      </c>
      <c r="R32" s="93">
        <f t="shared" si="15"/>
        <v>196.36400000000003</v>
      </c>
      <c r="S32" s="103">
        <v>0</v>
      </c>
      <c r="T32" s="97">
        <f t="shared" si="12"/>
        <v>0</v>
      </c>
      <c r="U32" s="93">
        <f t="shared" si="16"/>
        <v>16.858205844290641</v>
      </c>
      <c r="V32" s="93">
        <f t="shared" si="3"/>
        <v>0</v>
      </c>
      <c r="W32" s="38">
        <f t="shared" si="4"/>
        <v>1885</v>
      </c>
      <c r="X32" s="38">
        <f t="shared" si="5"/>
        <v>5.816465771549999</v>
      </c>
      <c r="Y32" s="38">
        <f t="shared" si="6"/>
        <v>568.98</v>
      </c>
      <c r="Z32" s="38">
        <f t="shared" si="7"/>
        <v>0</v>
      </c>
      <c r="AA32" s="38">
        <f t="shared" si="8"/>
        <v>2459.7964657715502</v>
      </c>
      <c r="AB32" s="38">
        <f t="shared" si="1"/>
        <v>10048.268562676782</v>
      </c>
      <c r="AC32" s="38">
        <f t="shared" si="13"/>
        <v>137151.73143732321</v>
      </c>
      <c r="AD32" s="127"/>
      <c r="AE32" s="127"/>
      <c r="AF32" s="69"/>
      <c r="AG32" s="69"/>
      <c r="AH32" s="69"/>
      <c r="AI32" s="69"/>
      <c r="AJ32" s="69"/>
      <c r="AK32" s="33"/>
      <c r="AL32" s="33"/>
      <c r="AM32" s="33"/>
      <c r="AN32" s="33"/>
      <c r="AO32" s="33"/>
      <c r="AP32" s="33"/>
      <c r="AQ32" s="33"/>
      <c r="AR32" s="33"/>
      <c r="AS32" s="33"/>
      <c r="AT32" s="33"/>
      <c r="AU32" s="33"/>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t="s">
        <v>284</v>
      </c>
      <c r="BZ32" s="69" t="s">
        <v>273</v>
      </c>
      <c r="CA32" s="69"/>
      <c r="CB32" s="69"/>
      <c r="CC32" s="69"/>
      <c r="CD32" s="69"/>
      <c r="CE32" s="69"/>
      <c r="CF32" s="69"/>
      <c r="CG32" s="69"/>
      <c r="CH32" s="69"/>
      <c r="CI32" s="69"/>
      <c r="CJ32" s="69"/>
      <c r="CK32" s="69"/>
      <c r="CL32" s="69"/>
      <c r="CM32" s="69"/>
      <c r="CN32" s="69"/>
      <c r="CO32" s="69"/>
      <c r="CP32" s="69"/>
      <c r="CQ32" s="69"/>
      <c r="CR32" s="69"/>
      <c r="CS32" s="69"/>
      <c r="CT32" s="69"/>
      <c r="CU32" s="69"/>
      <c r="CV32" s="69"/>
      <c r="CW32" s="69"/>
    </row>
    <row r="33" spans="1:101" ht="19.5" x14ac:dyDescent="0.35">
      <c r="A33" s="33"/>
      <c r="B33" s="73"/>
      <c r="C33" s="74"/>
      <c r="D33" s="34"/>
      <c r="E33" s="33"/>
      <c r="F33" s="71"/>
      <c r="G33" s="34"/>
      <c r="H33" s="38"/>
      <c r="I33" s="109">
        <v>8</v>
      </c>
      <c r="J33" s="38">
        <v>1</v>
      </c>
      <c r="K33" s="38">
        <v>1</v>
      </c>
      <c r="L33" s="38">
        <v>31</v>
      </c>
      <c r="M33" s="103">
        <v>4.9000000000000004</v>
      </c>
      <c r="N33" s="38">
        <f t="shared" si="9"/>
        <v>63.939453252430354</v>
      </c>
      <c r="O33" s="38">
        <f t="shared" si="14"/>
        <v>8.9849999999999994</v>
      </c>
      <c r="P33" s="38">
        <f t="shared" si="2"/>
        <v>20.099444999999999</v>
      </c>
      <c r="Q33" s="38">
        <f t="shared" si="10"/>
        <v>8.9849999999999994</v>
      </c>
      <c r="R33" s="93">
        <f t="shared" si="15"/>
        <v>205.34900000000005</v>
      </c>
      <c r="S33" s="103">
        <v>0</v>
      </c>
      <c r="T33" s="97">
        <f t="shared" si="12"/>
        <v>0</v>
      </c>
      <c r="U33" s="93">
        <f t="shared" si="16"/>
        <v>16.858205844290641</v>
      </c>
      <c r="V33" s="93">
        <f t="shared" si="3"/>
        <v>0</v>
      </c>
      <c r="W33" s="38">
        <f t="shared" si="4"/>
        <v>3552.5000000000005</v>
      </c>
      <c r="X33" s="38">
        <f t="shared" si="5"/>
        <v>28.139165765549993</v>
      </c>
      <c r="Y33" s="38">
        <f t="shared" si="6"/>
        <v>568.98</v>
      </c>
      <c r="Z33" s="38">
        <f t="shared" si="7"/>
        <v>0</v>
      </c>
      <c r="AA33" s="38">
        <f t="shared" si="8"/>
        <v>4149.6191657655509</v>
      </c>
      <c r="AB33" s="38">
        <f t="shared" si="1"/>
        <v>37284.328204403471</v>
      </c>
      <c r="AC33" s="38">
        <f t="shared" si="13"/>
        <v>109915.67179559653</v>
      </c>
      <c r="AD33" s="127"/>
      <c r="AE33" s="127"/>
      <c r="AF33" s="69"/>
      <c r="AG33" s="69"/>
      <c r="AH33" s="69"/>
      <c r="AI33" s="69"/>
      <c r="AJ33" s="69"/>
      <c r="AK33" s="33"/>
      <c r="AL33" s="33"/>
      <c r="AM33" s="33"/>
      <c r="AN33" s="33"/>
      <c r="AO33" s="33"/>
      <c r="AP33" s="33"/>
      <c r="AQ33" s="33"/>
      <c r="AR33" s="33"/>
      <c r="AS33" s="33"/>
      <c r="AT33" s="33"/>
      <c r="AU33" s="33"/>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v>4</v>
      </c>
      <c r="BZ33" s="69" t="s">
        <v>257</v>
      </c>
      <c r="CA33" s="69"/>
      <c r="CB33" s="69"/>
      <c r="CC33" s="69"/>
      <c r="CD33" s="69"/>
      <c r="CE33" s="69"/>
      <c r="CF33" s="69"/>
      <c r="CG33" s="69"/>
      <c r="CH33" s="69"/>
      <c r="CI33" s="69"/>
      <c r="CJ33" s="69"/>
      <c r="CK33" s="69"/>
      <c r="CL33" s="69"/>
      <c r="CM33" s="69"/>
      <c r="CN33" s="69"/>
      <c r="CO33" s="69"/>
      <c r="CP33" s="69"/>
      <c r="CQ33" s="69"/>
      <c r="CR33" s="69"/>
      <c r="CS33" s="69"/>
      <c r="CT33" s="69"/>
      <c r="CU33" s="69"/>
      <c r="CV33" s="69"/>
      <c r="CW33" s="69"/>
    </row>
    <row r="34" spans="1:101" ht="19.5" x14ac:dyDescent="0.35">
      <c r="A34" s="33"/>
      <c r="B34" s="73"/>
      <c r="C34" s="73"/>
      <c r="D34" s="33"/>
      <c r="E34" s="33"/>
      <c r="F34" s="71"/>
      <c r="G34" s="34"/>
      <c r="H34" s="38"/>
      <c r="I34" s="109">
        <v>8</v>
      </c>
      <c r="J34" s="38">
        <v>1</v>
      </c>
      <c r="K34" s="38">
        <v>1</v>
      </c>
      <c r="L34" s="38">
        <v>32</v>
      </c>
      <c r="M34" s="103">
        <v>5.3</v>
      </c>
      <c r="N34" s="38">
        <f t="shared" si="9"/>
        <v>69.159000456710373</v>
      </c>
      <c r="O34" s="38">
        <f t="shared" si="14"/>
        <v>14.285</v>
      </c>
      <c r="P34" s="38">
        <f t="shared" si="2"/>
        <v>31.955545000000001</v>
      </c>
      <c r="Q34" s="38">
        <f t="shared" si="10"/>
        <v>14.285</v>
      </c>
      <c r="R34" s="93">
        <f t="shared" si="15"/>
        <v>219.63400000000004</v>
      </c>
      <c r="S34" s="103">
        <v>0</v>
      </c>
      <c r="T34" s="97">
        <f t="shared" si="12"/>
        <v>0</v>
      </c>
      <c r="U34" s="93">
        <f t="shared" si="16"/>
        <v>16.858205844290641</v>
      </c>
      <c r="V34" s="93">
        <f t="shared" si="3"/>
        <v>0</v>
      </c>
      <c r="W34" s="38">
        <f t="shared" si="4"/>
        <v>3842.5</v>
      </c>
      <c r="X34" s="38">
        <f t="shared" si="5"/>
        <v>71.127172463549996</v>
      </c>
      <c r="Y34" s="38">
        <f t="shared" si="6"/>
        <v>568.98</v>
      </c>
      <c r="Z34" s="38">
        <f t="shared" si="7"/>
        <v>0</v>
      </c>
      <c r="AA34" s="38">
        <f t="shared" si="8"/>
        <v>4482.6071724635503</v>
      </c>
      <c r="AB34" s="38">
        <f t="shared" ref="AB34:AB37" si="19">AA34*O34</f>
        <v>64034.04345864182</v>
      </c>
      <c r="AC34" s="38">
        <f t="shared" si="13"/>
        <v>83165.956541358173</v>
      </c>
      <c r="AD34" s="127"/>
      <c r="AE34" s="127"/>
      <c r="AF34" s="69"/>
      <c r="AG34" s="69"/>
      <c r="AH34" s="69"/>
      <c r="AI34" s="69"/>
      <c r="AJ34" s="69"/>
      <c r="AK34" s="33"/>
      <c r="AL34" s="33"/>
      <c r="AM34" s="33"/>
      <c r="AN34" s="33"/>
      <c r="AO34" s="33"/>
      <c r="AP34" s="33"/>
      <c r="AQ34" s="33"/>
      <c r="AR34" s="33"/>
      <c r="AS34" s="33"/>
      <c r="AT34" s="33"/>
      <c r="AU34" s="33"/>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t="s">
        <v>284</v>
      </c>
      <c r="BZ34" s="69" t="s">
        <v>273</v>
      </c>
      <c r="CA34" s="69"/>
      <c r="CB34" s="69"/>
      <c r="CC34" s="69"/>
      <c r="CD34" s="69"/>
      <c r="CE34" s="69"/>
      <c r="CF34" s="69"/>
      <c r="CG34" s="69"/>
      <c r="CH34" s="69"/>
      <c r="CI34" s="69"/>
      <c r="CJ34" s="69"/>
      <c r="CK34" s="69"/>
      <c r="CL34" s="69"/>
      <c r="CM34" s="69"/>
      <c r="CN34" s="69"/>
      <c r="CO34" s="69"/>
      <c r="CP34" s="69"/>
      <c r="CQ34" s="69"/>
      <c r="CR34" s="69"/>
      <c r="CS34" s="69"/>
      <c r="CT34" s="69"/>
      <c r="CU34" s="69"/>
      <c r="CV34" s="69"/>
      <c r="CW34" s="69"/>
    </row>
    <row r="35" spans="1:101" ht="19.5" x14ac:dyDescent="0.35">
      <c r="A35" s="33"/>
      <c r="B35" s="73"/>
      <c r="C35" s="73"/>
      <c r="D35" s="33"/>
      <c r="E35" s="33"/>
      <c r="F35" s="71"/>
      <c r="G35" s="33"/>
      <c r="H35" s="38"/>
      <c r="I35" s="109">
        <v>8</v>
      </c>
      <c r="J35" s="38">
        <v>1</v>
      </c>
      <c r="K35" s="38">
        <v>1</v>
      </c>
      <c r="L35" s="38">
        <v>33</v>
      </c>
      <c r="M35" s="112">
        <v>1.5</v>
      </c>
      <c r="N35" s="38">
        <f t="shared" ref="N35:N62" si="20">(M35/7.6635)*100</f>
        <v>19.573302016050107</v>
      </c>
      <c r="O35" s="38">
        <f t="shared" si="14"/>
        <v>15.785</v>
      </c>
      <c r="P35" s="38">
        <f t="shared" ref="P35:P68" si="21">O35*2.237</f>
        <v>35.311045</v>
      </c>
      <c r="Q35" s="38">
        <f t="shared" si="10"/>
        <v>15.785</v>
      </c>
      <c r="R35" s="93">
        <f t="shared" ref="R35:R72" si="22">Q35+R34</f>
        <v>235.41900000000004</v>
      </c>
      <c r="S35" s="103">
        <v>0</v>
      </c>
      <c r="T35" s="97">
        <f t="shared" si="12"/>
        <v>0</v>
      </c>
      <c r="U35" s="93">
        <f t="shared" ref="U35:U60" si="23">U34+T35</f>
        <v>16.858205844290641</v>
      </c>
      <c r="V35" s="93">
        <f t="shared" ref="V35:V72" si="24">DEGREES(ASIN(T35/Q35))</f>
        <v>0</v>
      </c>
      <c r="W35" s="38">
        <f t="shared" si="4"/>
        <v>1087.5</v>
      </c>
      <c r="X35" s="38">
        <f t="shared" ref="X35:X68" si="25">0.5*$B$3*$E$14*$E$13*O35^2</f>
        <v>86.848881053549988</v>
      </c>
      <c r="Y35" s="38">
        <f t="shared" si="6"/>
        <v>568.98</v>
      </c>
      <c r="Z35" s="38">
        <f t="shared" ref="Z35:Z68" si="26">$E$6*$B$5*SIN(RADIANS(V35))</f>
        <v>0</v>
      </c>
      <c r="AA35" s="38">
        <f t="shared" ref="AA35:AA68" si="27">X35+Y35+Z35+W35</f>
        <v>1743.32888105355</v>
      </c>
      <c r="AB35" s="38">
        <f t="shared" si="19"/>
        <v>27518.446387430289</v>
      </c>
      <c r="AC35" s="38">
        <f t="shared" si="13"/>
        <v>119681.55361256971</v>
      </c>
      <c r="AD35" s="127"/>
      <c r="AE35" s="127"/>
      <c r="AF35" s="69"/>
      <c r="AG35" s="69"/>
      <c r="AH35" s="69"/>
      <c r="AI35" s="69"/>
      <c r="AJ35" s="69"/>
      <c r="AK35" s="33"/>
      <c r="AL35" s="33"/>
      <c r="AM35" s="33"/>
      <c r="AN35" s="33"/>
      <c r="AO35" s="33"/>
      <c r="AP35" s="33"/>
      <c r="AQ35" s="33"/>
      <c r="AR35" s="33"/>
      <c r="AS35" s="33"/>
      <c r="AT35" s="33"/>
      <c r="AU35" s="33"/>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v>11</v>
      </c>
      <c r="BZ35" s="133" t="s">
        <v>274</v>
      </c>
      <c r="CA35" s="69"/>
      <c r="CB35" s="69"/>
      <c r="CC35" s="69"/>
      <c r="CD35" s="69"/>
      <c r="CE35" s="69"/>
      <c r="CF35" s="69"/>
      <c r="CG35" s="69"/>
      <c r="CH35" s="69"/>
      <c r="CI35" s="69"/>
      <c r="CJ35" s="69"/>
      <c r="CK35" s="69"/>
      <c r="CL35" s="69"/>
      <c r="CM35" s="69"/>
      <c r="CN35" s="69"/>
      <c r="CO35" s="69"/>
      <c r="CP35" s="69"/>
      <c r="CQ35" s="69"/>
      <c r="CR35" s="69"/>
      <c r="CS35" s="69"/>
      <c r="CT35" s="69"/>
      <c r="CU35" s="69"/>
      <c r="CV35" s="69"/>
      <c r="CW35" s="69"/>
    </row>
    <row r="36" spans="1:101" ht="19.5" x14ac:dyDescent="0.35">
      <c r="A36" s="69"/>
      <c r="B36" s="69"/>
      <c r="C36" s="69"/>
      <c r="D36" s="69"/>
      <c r="E36" s="69"/>
      <c r="F36" s="69"/>
      <c r="G36" s="69"/>
      <c r="H36" s="96"/>
      <c r="J36" s="38">
        <v>1</v>
      </c>
      <c r="K36" s="38">
        <v>1</v>
      </c>
      <c r="L36" s="38">
        <v>34</v>
      </c>
      <c r="M36" s="113">
        <v>-0.8</v>
      </c>
      <c r="N36" s="41">
        <f t="shared" si="20"/>
        <v>-10.439094408560058</v>
      </c>
      <c r="O36" s="38">
        <f t="shared" si="14"/>
        <v>14.984999999999999</v>
      </c>
      <c r="P36" s="38">
        <f t="shared" si="21"/>
        <v>33.521445</v>
      </c>
      <c r="Q36" s="38">
        <f t="shared" si="10"/>
        <v>14.984999999999999</v>
      </c>
      <c r="R36" s="93">
        <f t="shared" si="22"/>
        <v>250.40400000000005</v>
      </c>
      <c r="S36" s="103">
        <v>0</v>
      </c>
      <c r="T36" s="97">
        <f t="shared" si="12"/>
        <v>0</v>
      </c>
      <c r="U36" s="93">
        <f t="shared" si="23"/>
        <v>16.858205844290641</v>
      </c>
      <c r="V36" s="93">
        <f t="shared" si="24"/>
        <v>0</v>
      </c>
      <c r="W36" s="41">
        <f t="shared" si="4"/>
        <v>-580</v>
      </c>
      <c r="X36" s="38">
        <f t="shared" si="25"/>
        <v>78.268777325549991</v>
      </c>
      <c r="Y36" s="38">
        <f t="shared" si="6"/>
        <v>568.98</v>
      </c>
      <c r="Z36" s="38">
        <f t="shared" si="26"/>
        <v>0</v>
      </c>
      <c r="AA36" s="38">
        <f t="shared" si="27"/>
        <v>67.248777325550009</v>
      </c>
      <c r="AB36" s="38">
        <f t="shared" si="19"/>
        <v>1007.7229282233668</v>
      </c>
      <c r="AC36" s="38">
        <f t="shared" si="13"/>
        <v>146192.27707177663</v>
      </c>
      <c r="AD36" s="127"/>
      <c r="AE36" s="127"/>
      <c r="AF36" s="69"/>
      <c r="AG36" s="69"/>
      <c r="AH36" s="69"/>
      <c r="AI36" s="69"/>
      <c r="AJ36" s="69"/>
      <c r="AK36" s="33"/>
      <c r="AL36" s="33"/>
      <c r="AM36" s="33"/>
      <c r="AN36" s="33"/>
      <c r="AO36" s="33"/>
      <c r="AP36" s="33"/>
      <c r="AQ36" s="33"/>
      <c r="AR36" s="33"/>
      <c r="AS36" s="33"/>
      <c r="AT36" s="33"/>
      <c r="AU36" s="33"/>
      <c r="AV36" s="69"/>
      <c r="AW36" s="69"/>
      <c r="AX36" s="69"/>
      <c r="AY36" s="69"/>
      <c r="AZ36" s="69"/>
      <c r="BA36" s="69"/>
      <c r="BB36" s="69"/>
      <c r="BC36" s="69"/>
      <c r="BD36" s="69"/>
      <c r="BE36" s="69"/>
      <c r="BF36" s="69"/>
      <c r="BG36" s="69"/>
      <c r="BH36" s="69"/>
      <c r="BI36" s="69"/>
      <c r="BJ36" s="69"/>
      <c r="BK36" s="69"/>
      <c r="BL36" s="69"/>
      <c r="BM36" s="69"/>
      <c r="BN36" s="110" t="s">
        <v>229</v>
      </c>
      <c r="BO36" s="69"/>
      <c r="BP36" s="69"/>
      <c r="BQ36" s="69"/>
      <c r="BR36" s="69"/>
      <c r="BS36" s="69"/>
      <c r="BT36" s="69"/>
      <c r="BU36" s="69"/>
      <c r="BV36" s="69"/>
      <c r="BW36" s="69"/>
      <c r="BX36" s="69"/>
      <c r="BY36" s="69">
        <v>7</v>
      </c>
      <c r="BZ36" s="69" t="s">
        <v>114</v>
      </c>
      <c r="CA36" s="69"/>
      <c r="CB36" s="69"/>
      <c r="CC36" s="69"/>
      <c r="CD36" s="69"/>
      <c r="CE36" s="69"/>
      <c r="CF36" s="69"/>
      <c r="CG36" s="69"/>
      <c r="CH36" s="69"/>
      <c r="CI36" s="69"/>
      <c r="CJ36" s="69"/>
      <c r="CK36" s="69"/>
      <c r="CL36" s="69"/>
      <c r="CM36" s="69"/>
      <c r="CN36" s="69"/>
      <c r="CO36" s="69"/>
      <c r="CP36" s="69"/>
      <c r="CQ36" s="69"/>
      <c r="CR36" s="69"/>
      <c r="CS36" s="69"/>
      <c r="CT36" s="69"/>
      <c r="CU36" s="69"/>
      <c r="CV36" s="69"/>
      <c r="CW36" s="69"/>
    </row>
    <row r="37" spans="1:101" ht="19.5" x14ac:dyDescent="0.35">
      <c r="A37" s="69"/>
      <c r="B37" s="69"/>
      <c r="C37" s="69"/>
      <c r="D37" s="69"/>
      <c r="E37" s="69"/>
      <c r="F37" s="69"/>
      <c r="G37" s="69"/>
      <c r="H37" s="38"/>
      <c r="I37" s="109">
        <v>9</v>
      </c>
      <c r="J37" s="38">
        <v>1</v>
      </c>
      <c r="K37" s="38">
        <v>1</v>
      </c>
      <c r="L37" s="38">
        <v>35</v>
      </c>
      <c r="M37" s="112">
        <v>-1.51</v>
      </c>
      <c r="N37" s="38">
        <f t="shared" si="20"/>
        <v>-19.703790696157107</v>
      </c>
      <c r="O37" s="38">
        <f t="shared" si="14"/>
        <v>13.475</v>
      </c>
      <c r="P37" s="38">
        <f t="shared" si="21"/>
        <v>30.143575000000002</v>
      </c>
      <c r="Q37" s="38">
        <f t="shared" si="10"/>
        <v>13.475</v>
      </c>
      <c r="R37" s="100">
        <f t="shared" si="22"/>
        <v>263.87900000000008</v>
      </c>
      <c r="S37" s="103">
        <v>-7.4947174539266861</v>
      </c>
      <c r="T37" s="97">
        <f t="shared" ref="T37:T69" si="28">Q37*(SIN(RADIANS(S37)))</f>
        <v>-1.7576086956521739</v>
      </c>
      <c r="U37" s="100">
        <f t="shared" si="23"/>
        <v>15.100597148638467</v>
      </c>
      <c r="V37" s="93">
        <f t="shared" si="24"/>
        <v>-7.4947174539266861</v>
      </c>
      <c r="W37" s="38">
        <f t="shared" ref="W37:W68" si="29">$E$6*M37</f>
        <v>-1094.75</v>
      </c>
      <c r="X37" s="38">
        <f t="shared" si="25"/>
        <v>63.289636698749995</v>
      </c>
      <c r="Y37" s="38">
        <f>$E$6*$B$5*$B$4</f>
        <v>568.98</v>
      </c>
      <c r="Z37" s="38">
        <f t="shared" si="26"/>
        <v>-927.68478260869563</v>
      </c>
      <c r="AA37" s="38">
        <f t="shared" si="27"/>
        <v>-1390.1651459099457</v>
      </c>
      <c r="AB37" s="38">
        <f t="shared" si="19"/>
        <v>-18732.47534113652</v>
      </c>
      <c r="AC37" s="38">
        <f t="shared" ref="AC37:AC69" si="30">147200-AB37</f>
        <v>165932.47534113651</v>
      </c>
      <c r="AD37" s="127"/>
      <c r="AE37" s="127"/>
      <c r="AF37" s="69"/>
      <c r="AG37" s="69"/>
      <c r="AH37" s="69"/>
      <c r="AI37" s="69"/>
      <c r="AJ37" s="69"/>
      <c r="AK37" s="33"/>
      <c r="AL37" s="33"/>
      <c r="AM37" s="33"/>
      <c r="AN37" s="33"/>
      <c r="AO37" s="33"/>
      <c r="AP37" s="33"/>
      <c r="AQ37" s="33"/>
      <c r="AR37" s="33"/>
      <c r="AS37" s="33"/>
      <c r="AT37" s="33"/>
      <c r="AU37" s="33"/>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c r="CT37" s="69"/>
      <c r="CU37" s="69"/>
      <c r="CV37" s="69"/>
      <c r="CW37" s="69"/>
    </row>
    <row r="38" spans="1:101" ht="19.5" x14ac:dyDescent="0.35">
      <c r="A38" s="69"/>
      <c r="B38" s="69"/>
      <c r="C38" s="69"/>
      <c r="D38" s="69"/>
      <c r="E38" s="69"/>
      <c r="F38" s="69"/>
      <c r="G38" s="69"/>
      <c r="H38" s="38"/>
      <c r="I38" s="109">
        <v>9</v>
      </c>
      <c r="J38" s="38">
        <v>1</v>
      </c>
      <c r="K38" s="38">
        <v>1</v>
      </c>
      <c r="L38" s="38">
        <v>36</v>
      </c>
      <c r="M38" s="111">
        <v>-2.8</v>
      </c>
      <c r="N38" s="38">
        <f t="shared" si="20"/>
        <v>-36.536830429960197</v>
      </c>
      <c r="O38" s="38">
        <f t="shared" si="14"/>
        <v>10.675000000000001</v>
      </c>
      <c r="P38" s="38">
        <f t="shared" si="21"/>
        <v>23.879975000000002</v>
      </c>
      <c r="Q38" s="38">
        <f t="shared" si="10"/>
        <v>10.675000000000001</v>
      </c>
      <c r="R38" s="93">
        <f t="shared" si="22"/>
        <v>274.55400000000009</v>
      </c>
      <c r="S38" s="103">
        <v>-7.4947174539266861</v>
      </c>
      <c r="T38" s="97">
        <f t="shared" si="28"/>
        <v>-1.3923913043478262</v>
      </c>
      <c r="U38" s="93">
        <f t="shared" si="23"/>
        <v>13.70820584429064</v>
      </c>
      <c r="V38" s="93">
        <f t="shared" si="24"/>
        <v>-7.4947174539266861</v>
      </c>
      <c r="W38" s="38">
        <f t="shared" si="29"/>
        <v>-2029.9999999999998</v>
      </c>
      <c r="X38" s="38">
        <f t="shared" si="25"/>
        <v>39.720144738750001</v>
      </c>
      <c r="Y38" s="38">
        <f t="shared" si="6"/>
        <v>568.98</v>
      </c>
      <c r="Z38" s="38">
        <f t="shared" si="26"/>
        <v>-927.68478260869563</v>
      </c>
      <c r="AA38" s="38">
        <f t="shared" si="27"/>
        <v>-2348.9846378699453</v>
      </c>
      <c r="AB38" s="38">
        <f t="shared" ref="AB38:AB67" si="31">AA38*O38</f>
        <v>-25075.411009261668</v>
      </c>
      <c r="AC38" s="38">
        <f t="shared" si="30"/>
        <v>172275.41100926168</v>
      </c>
      <c r="AD38" s="127"/>
      <c r="AE38" s="127"/>
      <c r="AF38" s="69"/>
      <c r="AG38" s="69"/>
      <c r="AH38" s="69"/>
      <c r="AI38" s="69"/>
      <c r="AJ38" s="69"/>
      <c r="AK38" s="33"/>
      <c r="AL38" s="33"/>
      <c r="AM38" s="33"/>
      <c r="AN38" s="33"/>
      <c r="AO38" s="33"/>
      <c r="AP38" s="33"/>
      <c r="AQ38" s="33"/>
      <c r="AR38" s="33"/>
      <c r="AS38" s="33"/>
      <c r="AT38" s="33"/>
      <c r="AU38" s="33"/>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c r="CT38" s="69"/>
      <c r="CU38" s="69"/>
      <c r="CV38" s="69"/>
      <c r="CW38" s="69"/>
    </row>
    <row r="39" spans="1:101" ht="19.5" x14ac:dyDescent="0.35">
      <c r="A39" s="69"/>
      <c r="B39" s="69"/>
      <c r="C39" s="69"/>
      <c r="D39" s="69"/>
      <c r="E39" s="69"/>
      <c r="F39" s="69"/>
      <c r="G39" s="69"/>
      <c r="H39" s="96"/>
      <c r="I39" s="109">
        <v>9</v>
      </c>
      <c r="J39" s="38">
        <v>1</v>
      </c>
      <c r="K39" s="38">
        <v>1</v>
      </c>
      <c r="L39" s="38">
        <v>37</v>
      </c>
      <c r="M39" s="111">
        <v>-3.1</v>
      </c>
      <c r="N39" s="38">
        <f t="shared" si="20"/>
        <v>-40.451490833170226</v>
      </c>
      <c r="O39" s="38">
        <f t="shared" si="14"/>
        <v>7.5750000000000011</v>
      </c>
      <c r="P39" s="38">
        <f t="shared" si="21"/>
        <v>16.945275000000002</v>
      </c>
      <c r="Q39" s="38">
        <f t="shared" si="10"/>
        <v>7.5750000000000011</v>
      </c>
      <c r="R39" s="93">
        <f t="shared" si="22"/>
        <v>282.12900000000008</v>
      </c>
      <c r="S39" s="103">
        <v>-7.4947174539266861</v>
      </c>
      <c r="T39" s="97">
        <f t="shared" si="28"/>
        <v>-0.98804347826086969</v>
      </c>
      <c r="U39" s="93">
        <f t="shared" si="23"/>
        <v>12.72016236602977</v>
      </c>
      <c r="V39" s="93">
        <f t="shared" si="24"/>
        <v>-7.4947174539266861</v>
      </c>
      <c r="W39" s="38">
        <f t="shared" si="29"/>
        <v>-2247.5</v>
      </c>
      <c r="X39" s="38">
        <f t="shared" si="25"/>
        <v>20.000475888750003</v>
      </c>
      <c r="Y39" s="38">
        <f t="shared" si="6"/>
        <v>568.98</v>
      </c>
      <c r="Z39" s="38">
        <f t="shared" si="26"/>
        <v>-927.68478260869563</v>
      </c>
      <c r="AA39" s="38">
        <f t="shared" si="27"/>
        <v>-2586.2043067199456</v>
      </c>
      <c r="AB39" s="38">
        <f t="shared" si="31"/>
        <v>-19590.497623403589</v>
      </c>
      <c r="AC39" s="38">
        <f t="shared" si="30"/>
        <v>166790.49762340359</v>
      </c>
      <c r="AD39" s="127"/>
      <c r="AE39" s="127"/>
      <c r="AF39" s="69"/>
      <c r="AG39" s="69"/>
      <c r="AH39" s="69"/>
      <c r="AI39" s="69"/>
      <c r="AJ39" s="69"/>
      <c r="AK39" s="33"/>
      <c r="AL39" s="33"/>
      <c r="AM39" s="33"/>
      <c r="AN39" s="33"/>
      <c r="AO39" s="33"/>
      <c r="AP39" s="33"/>
      <c r="AQ39" s="33"/>
      <c r="AR39" s="33"/>
      <c r="AS39" s="33"/>
      <c r="AT39" s="33"/>
      <c r="AU39" s="33"/>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c r="CT39" s="69"/>
      <c r="CU39" s="69"/>
      <c r="CV39" s="69"/>
      <c r="CW39" s="69"/>
    </row>
    <row r="40" spans="1:101" ht="19.5" x14ac:dyDescent="0.35">
      <c r="A40" s="69"/>
      <c r="B40" s="69"/>
      <c r="C40" s="69"/>
      <c r="D40" s="69"/>
      <c r="E40" s="69"/>
      <c r="F40" s="69"/>
      <c r="G40" s="69"/>
      <c r="H40" s="38"/>
      <c r="I40" s="109">
        <v>10</v>
      </c>
      <c r="J40" s="38">
        <v>1</v>
      </c>
      <c r="K40" s="38">
        <v>1</v>
      </c>
      <c r="L40" s="38">
        <v>38</v>
      </c>
      <c r="M40" s="111">
        <v>-2</v>
      </c>
      <c r="N40" s="38">
        <f t="shared" si="20"/>
        <v>-26.097736021400141</v>
      </c>
      <c r="O40" s="38">
        <f t="shared" si="14"/>
        <v>5.5750000000000011</v>
      </c>
      <c r="P40" s="38">
        <f t="shared" si="21"/>
        <v>12.471275000000002</v>
      </c>
      <c r="Q40" s="38">
        <f t="shared" si="10"/>
        <v>5.5750000000000011</v>
      </c>
      <c r="R40" s="100">
        <f t="shared" si="22"/>
        <v>287.70400000000006</v>
      </c>
      <c r="S40" s="103">
        <v>-7.3540352103988331</v>
      </c>
      <c r="T40" s="97">
        <f t="shared" si="28"/>
        <v>-0.71360000000000012</v>
      </c>
      <c r="U40" s="100">
        <f t="shared" si="23"/>
        <v>12.006562366029771</v>
      </c>
      <c r="V40" s="93">
        <f t="shared" si="24"/>
        <v>-7.3540352103988331</v>
      </c>
      <c r="W40" s="38">
        <f t="shared" si="29"/>
        <v>-1450</v>
      </c>
      <c r="X40" s="38">
        <f t="shared" si="25"/>
        <v>10.833400488750003</v>
      </c>
      <c r="Y40" s="38">
        <f t="shared" si="6"/>
        <v>568.98</v>
      </c>
      <c r="Z40" s="38">
        <f t="shared" si="26"/>
        <v>-910.36800000000005</v>
      </c>
      <c r="AA40" s="38">
        <f t="shared" si="27"/>
        <v>-1780.55459951125</v>
      </c>
      <c r="AB40" s="38">
        <f t="shared" si="31"/>
        <v>-9926.5918922752207</v>
      </c>
      <c r="AC40" s="38">
        <f t="shared" si="30"/>
        <v>157126.59189227523</v>
      </c>
      <c r="AD40" s="127"/>
      <c r="AE40" s="127"/>
      <c r="AF40" s="69"/>
      <c r="AG40" s="69"/>
      <c r="AH40" s="69"/>
      <c r="AI40" s="69"/>
      <c r="AJ40" s="69"/>
      <c r="AK40" s="33"/>
      <c r="AL40" s="33"/>
      <c r="AM40" s="33"/>
      <c r="AN40" s="33"/>
      <c r="AO40" s="33"/>
      <c r="AP40" s="33"/>
      <c r="AQ40" s="33"/>
      <c r="AR40" s="33"/>
      <c r="AS40" s="33"/>
      <c r="AT40" s="33"/>
      <c r="AU40" s="33"/>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c r="CT40" s="69"/>
      <c r="CU40" s="69"/>
      <c r="CV40" s="69"/>
      <c r="CW40" s="69"/>
    </row>
    <row r="41" spans="1:101" ht="19.5" x14ac:dyDescent="0.35">
      <c r="A41" s="69"/>
      <c r="B41" s="69"/>
      <c r="C41" s="69"/>
      <c r="D41" s="69"/>
      <c r="E41" s="69"/>
      <c r="F41" s="69"/>
      <c r="G41" s="69"/>
      <c r="H41" s="38"/>
      <c r="I41" s="38">
        <v>10</v>
      </c>
      <c r="J41" s="38">
        <v>1</v>
      </c>
      <c r="K41" s="38">
        <v>1</v>
      </c>
      <c r="L41" s="38">
        <v>39</v>
      </c>
      <c r="M41" s="103">
        <v>0.4</v>
      </c>
      <c r="N41" s="38">
        <f t="shared" si="20"/>
        <v>5.2195472042800288</v>
      </c>
      <c r="O41" s="38">
        <f t="shared" si="14"/>
        <v>5.9750000000000014</v>
      </c>
      <c r="P41" s="38">
        <f t="shared" si="21"/>
        <v>13.366075000000004</v>
      </c>
      <c r="Q41" s="38">
        <f t="shared" si="10"/>
        <v>5.9750000000000014</v>
      </c>
      <c r="R41" s="93">
        <f t="shared" si="22"/>
        <v>293.67900000000009</v>
      </c>
      <c r="S41" s="103">
        <v>-7.3540352103988331</v>
      </c>
      <c r="T41" s="97">
        <f t="shared" si="28"/>
        <v>-0.76480000000000015</v>
      </c>
      <c r="U41" s="93">
        <f t="shared" si="23"/>
        <v>11.241762366029771</v>
      </c>
      <c r="V41" s="93">
        <f t="shared" si="24"/>
        <v>-7.3540352103988331</v>
      </c>
      <c r="W41" s="38">
        <f t="shared" si="29"/>
        <v>290</v>
      </c>
      <c r="X41" s="38">
        <f t="shared" si="25"/>
        <v>12.443738448750006</v>
      </c>
      <c r="Y41" s="38">
        <f t="shared" si="6"/>
        <v>568.98</v>
      </c>
      <c r="Z41" s="38">
        <f t="shared" si="26"/>
        <v>-910.36800000000005</v>
      </c>
      <c r="AA41" s="38">
        <f t="shared" si="27"/>
        <v>-38.944261551250065</v>
      </c>
      <c r="AB41" s="38">
        <f t="shared" si="31"/>
        <v>-232.69196276871921</v>
      </c>
      <c r="AC41" s="38">
        <f t="shared" si="30"/>
        <v>147432.69196276873</v>
      </c>
      <c r="AD41" s="127"/>
      <c r="AE41" s="127"/>
      <c r="AF41" s="69"/>
      <c r="AG41" s="69"/>
      <c r="AH41" s="69"/>
      <c r="AI41" s="69"/>
      <c r="AJ41" s="69"/>
      <c r="AK41" s="33"/>
      <c r="AL41" s="33"/>
      <c r="AM41" s="33"/>
      <c r="AN41" s="33"/>
      <c r="AO41" s="33"/>
      <c r="AP41" s="33"/>
      <c r="AQ41" s="33"/>
      <c r="AR41" s="33"/>
      <c r="AS41" s="33"/>
      <c r="AT41" s="33"/>
      <c r="AU41" s="33"/>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c r="CB41" s="69"/>
      <c r="CC41" s="69"/>
      <c r="CD41" s="69"/>
      <c r="CE41" s="69"/>
      <c r="CF41" s="69"/>
      <c r="CG41" s="69"/>
      <c r="CH41" s="69"/>
      <c r="CI41" s="69"/>
      <c r="CJ41" s="69"/>
      <c r="CK41" s="69"/>
      <c r="CL41" s="69"/>
      <c r="CM41" s="69"/>
      <c r="CN41" s="69"/>
      <c r="CO41" s="69"/>
      <c r="CP41" s="69"/>
      <c r="CQ41" s="69"/>
      <c r="CR41" s="69"/>
      <c r="CS41" s="69"/>
      <c r="CT41" s="69"/>
      <c r="CU41" s="69"/>
      <c r="CV41" s="69"/>
      <c r="CW41" s="69"/>
    </row>
    <row r="42" spans="1:101" ht="19.5" x14ac:dyDescent="0.35">
      <c r="A42" s="69"/>
      <c r="B42" s="69"/>
      <c r="C42" s="69"/>
      <c r="D42" s="69"/>
      <c r="E42" s="69"/>
      <c r="F42" s="69"/>
      <c r="G42" s="69"/>
      <c r="H42" s="96"/>
      <c r="I42" s="38">
        <v>10</v>
      </c>
      <c r="J42" s="38">
        <v>1</v>
      </c>
      <c r="K42" s="38">
        <v>1</v>
      </c>
      <c r="L42" s="38">
        <v>40</v>
      </c>
      <c r="M42" s="103">
        <v>0.9</v>
      </c>
      <c r="N42" s="38">
        <f t="shared" si="20"/>
        <v>11.743981209630066</v>
      </c>
      <c r="O42" s="38">
        <f t="shared" si="14"/>
        <v>6.8750000000000018</v>
      </c>
      <c r="P42" s="38">
        <f t="shared" si="21"/>
        <v>15.379375000000005</v>
      </c>
      <c r="Q42" s="38">
        <f t="shared" si="10"/>
        <v>6.8750000000000018</v>
      </c>
      <c r="R42" s="93">
        <f t="shared" si="22"/>
        <v>300.55400000000009</v>
      </c>
      <c r="S42" s="103">
        <v>-7.3540352103988331</v>
      </c>
      <c r="T42" s="97">
        <f t="shared" si="28"/>
        <v>-0.88000000000000023</v>
      </c>
      <c r="U42" s="93">
        <f t="shared" si="23"/>
        <v>10.361762366029771</v>
      </c>
      <c r="V42" s="93">
        <f t="shared" si="24"/>
        <v>-7.3540352103988331</v>
      </c>
      <c r="W42" s="38">
        <f t="shared" si="29"/>
        <v>652.5</v>
      </c>
      <c r="X42" s="38">
        <f t="shared" si="25"/>
        <v>16.474811718750008</v>
      </c>
      <c r="Y42" s="38">
        <f t="shared" si="6"/>
        <v>568.98</v>
      </c>
      <c r="Z42" s="38">
        <f t="shared" si="26"/>
        <v>-910.36800000000005</v>
      </c>
      <c r="AA42" s="38">
        <f t="shared" si="27"/>
        <v>327.58681171875003</v>
      </c>
      <c r="AB42" s="38">
        <f t="shared" si="31"/>
        <v>2252.1593305664069</v>
      </c>
      <c r="AC42" s="38">
        <f t="shared" si="30"/>
        <v>144947.84066943359</v>
      </c>
      <c r="AD42" s="127"/>
      <c r="AE42" s="127"/>
      <c r="AF42" s="69"/>
      <c r="AG42" s="69"/>
      <c r="AH42" s="69"/>
      <c r="AI42" s="69"/>
      <c r="AJ42" s="69"/>
      <c r="AK42" s="33"/>
      <c r="AL42" s="33"/>
      <c r="AM42" s="33"/>
      <c r="AN42" s="33"/>
      <c r="AO42" s="33"/>
      <c r="AP42" s="33"/>
      <c r="AQ42" s="33"/>
      <c r="AR42" s="33"/>
      <c r="AS42" s="33"/>
      <c r="AT42" s="33"/>
      <c r="AU42" s="33"/>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c r="CB42" s="69"/>
      <c r="CC42" s="69"/>
      <c r="CD42" s="69"/>
      <c r="CE42" s="69"/>
      <c r="CF42" s="69"/>
      <c r="CG42" s="69"/>
      <c r="CH42" s="69"/>
      <c r="CI42" s="69"/>
      <c r="CJ42" s="69"/>
      <c r="CK42" s="69"/>
      <c r="CL42" s="69"/>
      <c r="CM42" s="69"/>
      <c r="CN42" s="69"/>
      <c r="CO42" s="69"/>
      <c r="CP42" s="69"/>
      <c r="CQ42" s="69"/>
      <c r="CR42" s="69"/>
      <c r="CS42" s="69"/>
      <c r="CT42" s="69"/>
      <c r="CU42" s="69"/>
      <c r="CV42" s="69"/>
      <c r="CW42" s="69"/>
    </row>
    <row r="43" spans="1:101" ht="19.5" x14ac:dyDescent="0.35">
      <c r="A43" s="69"/>
      <c r="B43" s="69"/>
      <c r="C43" s="69"/>
      <c r="D43" s="69"/>
      <c r="E43" s="69"/>
      <c r="F43" s="69"/>
      <c r="G43" s="69"/>
      <c r="H43" s="38"/>
      <c r="I43" s="38">
        <v>11</v>
      </c>
      <c r="J43" s="38">
        <v>1</v>
      </c>
      <c r="K43" s="38">
        <v>1</v>
      </c>
      <c r="L43" s="38">
        <v>41</v>
      </c>
      <c r="M43" s="103">
        <v>1.3</v>
      </c>
      <c r="N43" s="38">
        <f t="shared" si="20"/>
        <v>16.963528413910094</v>
      </c>
      <c r="O43" s="38">
        <f t="shared" si="14"/>
        <v>8.1750000000000025</v>
      </c>
      <c r="P43" s="38">
        <f t="shared" si="21"/>
        <v>18.287475000000008</v>
      </c>
      <c r="Q43" s="38">
        <f t="shared" si="10"/>
        <v>8.1750000000000025</v>
      </c>
      <c r="R43" s="100">
        <f t="shared" si="22"/>
        <v>308.7290000000001</v>
      </c>
      <c r="S43" s="103">
        <v>0</v>
      </c>
      <c r="T43" s="97">
        <f t="shared" si="28"/>
        <v>0</v>
      </c>
      <c r="U43" s="100">
        <f t="shared" si="23"/>
        <v>10.361762366029771</v>
      </c>
      <c r="V43" s="93">
        <f t="shared" si="24"/>
        <v>0</v>
      </c>
      <c r="W43" s="38">
        <f t="shared" si="29"/>
        <v>942.5</v>
      </c>
      <c r="X43" s="38">
        <f t="shared" si="25"/>
        <v>23.294348988750013</v>
      </c>
      <c r="Y43" s="38">
        <f t="shared" si="6"/>
        <v>568.98</v>
      </c>
      <c r="Z43" s="38">
        <f t="shared" si="26"/>
        <v>0</v>
      </c>
      <c r="AA43" s="38">
        <f t="shared" si="27"/>
        <v>1534.77434898875</v>
      </c>
      <c r="AB43" s="38">
        <f t="shared" si="31"/>
        <v>12546.780302983036</v>
      </c>
      <c r="AC43" s="38">
        <f t="shared" si="30"/>
        <v>134653.21969701696</v>
      </c>
      <c r="AD43" s="127"/>
      <c r="AE43" s="127"/>
      <c r="AF43" s="69"/>
      <c r="AG43" s="69"/>
      <c r="AH43" s="69"/>
      <c r="AI43" s="69"/>
      <c r="AJ43" s="69"/>
      <c r="AK43" s="33"/>
      <c r="AL43" s="33"/>
      <c r="AM43" s="33"/>
      <c r="AN43" s="33"/>
      <c r="AO43" s="33"/>
      <c r="AP43" s="33"/>
      <c r="AQ43" s="33"/>
      <c r="AR43" s="33"/>
      <c r="AS43" s="33"/>
      <c r="AT43" s="33"/>
      <c r="AU43" s="33"/>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c r="CB43" s="69"/>
      <c r="CC43" s="69"/>
      <c r="CD43" s="69"/>
      <c r="CE43" s="69"/>
      <c r="CF43" s="69"/>
      <c r="CG43" s="69"/>
      <c r="CH43" s="69"/>
      <c r="CI43" s="69"/>
      <c r="CJ43" s="69"/>
      <c r="CK43" s="69"/>
      <c r="CL43" s="69"/>
      <c r="CM43" s="69"/>
      <c r="CN43" s="69"/>
      <c r="CO43" s="69"/>
      <c r="CP43" s="69"/>
      <c r="CQ43" s="69"/>
      <c r="CR43" s="69"/>
      <c r="CS43" s="69"/>
      <c r="CT43" s="69"/>
      <c r="CU43" s="69"/>
      <c r="CV43" s="69"/>
      <c r="CW43" s="69"/>
    </row>
    <row r="44" spans="1:101" ht="19.5" x14ac:dyDescent="0.35">
      <c r="A44" s="69"/>
      <c r="B44" s="69"/>
      <c r="C44" s="69"/>
      <c r="D44" s="69"/>
      <c r="E44" s="69"/>
      <c r="F44" s="69"/>
      <c r="G44" s="69"/>
      <c r="H44" s="38"/>
      <c r="I44" s="38">
        <v>11</v>
      </c>
      <c r="J44" s="38">
        <v>1</v>
      </c>
      <c r="K44" s="38">
        <v>1</v>
      </c>
      <c r="L44" s="38">
        <v>42</v>
      </c>
      <c r="M44" s="103">
        <v>4.5</v>
      </c>
      <c r="N44" s="38">
        <f t="shared" si="20"/>
        <v>58.719906048150328</v>
      </c>
      <c r="O44" s="38">
        <f t="shared" si="14"/>
        <v>12.675000000000002</v>
      </c>
      <c r="P44" s="38">
        <f t="shared" si="21"/>
        <v>28.353975000000005</v>
      </c>
      <c r="Q44" s="38">
        <f t="shared" si="10"/>
        <v>12.675000000000002</v>
      </c>
      <c r="R44" s="93">
        <f t="shared" si="22"/>
        <v>321.40400000000011</v>
      </c>
      <c r="S44" s="103">
        <v>0</v>
      </c>
      <c r="T44" s="97">
        <f t="shared" si="28"/>
        <v>0</v>
      </c>
      <c r="U44" s="93">
        <f t="shared" si="23"/>
        <v>10.361762366029771</v>
      </c>
      <c r="V44" s="93">
        <f t="shared" si="24"/>
        <v>0</v>
      </c>
      <c r="W44" s="38">
        <f t="shared" si="29"/>
        <v>3262.5</v>
      </c>
      <c r="X44" s="38">
        <f t="shared" si="25"/>
        <v>55.997803338750025</v>
      </c>
      <c r="Y44" s="38">
        <f t="shared" si="6"/>
        <v>568.98</v>
      </c>
      <c r="Z44" s="38">
        <f t="shared" si="26"/>
        <v>0</v>
      </c>
      <c r="AA44" s="38">
        <f t="shared" si="27"/>
        <v>3887.4778033387502</v>
      </c>
      <c r="AB44" s="38">
        <f t="shared" si="31"/>
        <v>49273.78115731867</v>
      </c>
      <c r="AC44" s="38">
        <f t="shared" si="30"/>
        <v>97926.218842681323</v>
      </c>
      <c r="AD44" s="127"/>
      <c r="AE44" s="127"/>
      <c r="AF44" s="69"/>
      <c r="AG44" s="69"/>
      <c r="AH44" s="69"/>
      <c r="AI44" s="69"/>
      <c r="AJ44" s="69"/>
      <c r="AK44" s="33"/>
      <c r="AL44" s="33"/>
      <c r="AM44" s="33"/>
      <c r="AN44" s="33"/>
      <c r="AO44" s="33"/>
      <c r="AP44" s="33"/>
      <c r="AQ44" s="33"/>
      <c r="AR44" s="33"/>
      <c r="AS44" s="33"/>
      <c r="AT44" s="33"/>
      <c r="AU44" s="33"/>
      <c r="AV44" s="69"/>
      <c r="AW44" s="69"/>
      <c r="AX44" s="69"/>
      <c r="AY44" s="127"/>
      <c r="AZ44" s="69"/>
      <c r="BA44" s="69"/>
      <c r="BB44" s="69"/>
      <c r="BC44" s="69"/>
      <c r="BD44" s="69"/>
      <c r="BE44" s="69"/>
      <c r="BF44" s="69"/>
      <c r="BG44" s="69"/>
      <c r="BH44" s="69"/>
      <c r="BI44" s="69"/>
      <c r="BJ44" s="69"/>
      <c r="BK44" s="69"/>
      <c r="BL44" s="69"/>
      <c r="BM44" s="69"/>
      <c r="BN44" s="69"/>
      <c r="BO44" s="69"/>
      <c r="BP44" s="69"/>
      <c r="BQ44" s="69"/>
      <c r="BR44" s="69"/>
      <c r="BS44" s="69"/>
      <c r="BT44" s="69"/>
      <c r="BU44" s="69"/>
      <c r="BV44" s="69"/>
      <c r="BW44" s="69"/>
      <c r="BX44" s="69"/>
      <c r="BY44" s="69"/>
      <c r="BZ44" s="69"/>
      <c r="CA44" s="69"/>
      <c r="CB44" s="69"/>
      <c r="CC44" s="69"/>
      <c r="CD44" s="69"/>
      <c r="CE44" s="69"/>
      <c r="CF44" s="69"/>
      <c r="CG44" s="69"/>
      <c r="CH44" s="69"/>
      <c r="CI44" s="69"/>
      <c r="CJ44" s="69"/>
      <c r="CK44" s="69"/>
      <c r="CL44" s="69"/>
      <c r="CM44" s="69"/>
      <c r="CN44" s="69"/>
      <c r="CO44" s="69"/>
      <c r="CP44" s="69"/>
      <c r="CQ44" s="69"/>
      <c r="CR44" s="69"/>
      <c r="CS44" s="69"/>
      <c r="CT44" s="69"/>
      <c r="CU44" s="69"/>
      <c r="CV44" s="69"/>
      <c r="CW44" s="69"/>
    </row>
    <row r="45" spans="1:101" ht="19.5" x14ac:dyDescent="0.35">
      <c r="A45" s="69"/>
      <c r="B45" s="69"/>
      <c r="C45" s="69"/>
      <c r="D45" s="69"/>
      <c r="E45" s="69"/>
      <c r="F45" s="69"/>
      <c r="G45" s="69"/>
      <c r="H45" s="96"/>
      <c r="I45" s="38">
        <v>11</v>
      </c>
      <c r="J45" s="38">
        <v>1</v>
      </c>
      <c r="K45" s="38">
        <v>1</v>
      </c>
      <c r="L45" s="38">
        <v>43</v>
      </c>
      <c r="M45" s="103">
        <v>4.5</v>
      </c>
      <c r="N45" s="38">
        <f t="shared" si="20"/>
        <v>58.719906048150328</v>
      </c>
      <c r="O45" s="38">
        <f t="shared" si="14"/>
        <v>17.175000000000004</v>
      </c>
      <c r="P45" s="38">
        <f t="shared" si="21"/>
        <v>38.42047500000001</v>
      </c>
      <c r="Q45" s="38">
        <f t="shared" si="10"/>
        <v>17.175000000000004</v>
      </c>
      <c r="R45" s="93">
        <f t="shared" si="22"/>
        <v>338.57900000000012</v>
      </c>
      <c r="S45" s="103">
        <v>0</v>
      </c>
      <c r="T45" s="97">
        <f t="shared" si="28"/>
        <v>0</v>
      </c>
      <c r="U45" s="93">
        <f t="shared" si="23"/>
        <v>10.361762366029771</v>
      </c>
      <c r="V45" s="93">
        <f t="shared" si="24"/>
        <v>0</v>
      </c>
      <c r="W45" s="38">
        <f t="shared" si="29"/>
        <v>3262.5</v>
      </c>
      <c r="X45" s="38">
        <f t="shared" si="25"/>
        <v>102.81785668875004</v>
      </c>
      <c r="Y45" s="38">
        <f t="shared" si="6"/>
        <v>568.98</v>
      </c>
      <c r="Z45" s="38">
        <f t="shared" si="26"/>
        <v>0</v>
      </c>
      <c r="AA45" s="38">
        <f t="shared" si="27"/>
        <v>3934.29785668875</v>
      </c>
      <c r="AB45" s="38">
        <f t="shared" si="31"/>
        <v>67571.5656886293</v>
      </c>
      <c r="AC45" s="38">
        <f t="shared" si="30"/>
        <v>79628.4343113707</v>
      </c>
      <c r="AD45" s="127"/>
      <c r="AE45" s="127"/>
      <c r="AF45" s="69"/>
      <c r="AG45" s="69"/>
      <c r="AH45" s="69"/>
      <c r="AI45" s="69"/>
      <c r="AJ45" s="69"/>
      <c r="AK45" s="33"/>
      <c r="AL45" s="33"/>
      <c r="AM45" s="33"/>
      <c r="AN45" s="33"/>
      <c r="AO45" s="33"/>
      <c r="AP45" s="33"/>
      <c r="AQ45" s="33"/>
      <c r="AR45" s="33"/>
      <c r="AS45" s="33"/>
      <c r="AT45" s="33"/>
      <c r="AU45" s="33"/>
      <c r="AV45" s="69"/>
      <c r="AW45" s="69"/>
      <c r="AX45" s="69"/>
      <c r="AY45" s="127"/>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c r="CB45" s="69"/>
      <c r="CC45" s="69"/>
      <c r="CD45" s="69"/>
      <c r="CE45" s="69"/>
      <c r="CF45" s="69"/>
      <c r="CG45" s="69"/>
      <c r="CH45" s="69"/>
      <c r="CI45" s="69"/>
      <c r="CJ45" s="69"/>
      <c r="CK45" s="69"/>
      <c r="CL45" s="69"/>
      <c r="CM45" s="69"/>
      <c r="CN45" s="69"/>
      <c r="CO45" s="69"/>
      <c r="CP45" s="69"/>
      <c r="CQ45" s="69"/>
      <c r="CR45" s="69"/>
      <c r="CS45" s="69"/>
      <c r="CT45" s="69"/>
      <c r="CU45" s="69"/>
      <c r="CV45" s="69"/>
      <c r="CW45" s="69"/>
    </row>
    <row r="46" spans="1:101" ht="19.5" x14ac:dyDescent="0.35">
      <c r="A46" s="69"/>
      <c r="B46" s="69"/>
      <c r="C46" s="69"/>
      <c r="D46" s="69"/>
      <c r="E46" s="69"/>
      <c r="F46" s="69"/>
      <c r="G46" s="69"/>
      <c r="H46" s="96"/>
      <c r="I46" s="38">
        <v>12</v>
      </c>
      <c r="J46" s="38">
        <v>1</v>
      </c>
      <c r="K46" s="38">
        <v>1</v>
      </c>
      <c r="L46" s="38">
        <v>44</v>
      </c>
      <c r="M46" s="112">
        <v>4.3</v>
      </c>
      <c r="N46" s="38">
        <f t="shared" si="20"/>
        <v>56.110132446010311</v>
      </c>
      <c r="O46" s="38">
        <f t="shared" si="14"/>
        <v>21.475000000000005</v>
      </c>
      <c r="P46" s="38">
        <f t="shared" si="21"/>
        <v>48.039575000000013</v>
      </c>
      <c r="Q46" s="38">
        <f t="shared" si="10"/>
        <v>21.475000000000005</v>
      </c>
      <c r="R46" s="100">
        <f t="shared" si="22"/>
        <v>360.05400000000014</v>
      </c>
      <c r="S46" s="103">
        <v>7.37</v>
      </c>
      <c r="T46" s="97">
        <f t="shared" si="28"/>
        <v>2.7547344259782052</v>
      </c>
      <c r="U46" s="100">
        <f t="shared" si="23"/>
        <v>13.116496792007975</v>
      </c>
      <c r="V46" s="93">
        <f t="shared" si="24"/>
        <v>7.3699999999999983</v>
      </c>
      <c r="W46" s="38">
        <f t="shared" si="29"/>
        <v>3117.5</v>
      </c>
      <c r="X46" s="38">
        <f t="shared" si="25"/>
        <v>160.74645349875007</v>
      </c>
      <c r="Y46" s="38">
        <f t="shared" si="6"/>
        <v>568.98</v>
      </c>
      <c r="Z46" s="38">
        <f t="shared" si="26"/>
        <v>912.3334072718734</v>
      </c>
      <c r="AA46" s="38">
        <f t="shared" si="27"/>
        <v>4759.5598607706233</v>
      </c>
      <c r="AB46" s="38">
        <f t="shared" si="31"/>
        <v>102211.54801004915</v>
      </c>
      <c r="AC46" s="38">
        <f t="shared" si="30"/>
        <v>44988.451989950845</v>
      </c>
      <c r="AD46" s="127"/>
      <c r="AE46" s="127"/>
      <c r="AF46" s="69"/>
      <c r="AG46" s="69"/>
      <c r="AH46" s="69"/>
      <c r="AI46" s="69"/>
      <c r="AJ46" s="69"/>
      <c r="AK46" s="33"/>
      <c r="AL46" s="33"/>
      <c r="AM46" s="33"/>
      <c r="AN46" s="33"/>
      <c r="AO46" s="33"/>
      <c r="AP46" s="33"/>
      <c r="AQ46" s="33"/>
      <c r="AR46" s="33"/>
      <c r="AS46" s="33"/>
      <c r="AT46" s="33"/>
      <c r="AU46" s="33"/>
      <c r="AV46" s="69"/>
      <c r="AW46" s="69"/>
      <c r="AX46" s="69"/>
      <c r="AY46" s="127"/>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c r="CT46" s="69"/>
      <c r="CU46" s="69"/>
      <c r="CV46" s="69"/>
      <c r="CW46" s="69"/>
    </row>
    <row r="47" spans="1:101" ht="19.5" x14ac:dyDescent="0.35">
      <c r="A47" s="69"/>
      <c r="B47" s="69"/>
      <c r="C47" s="69"/>
      <c r="D47" s="69"/>
      <c r="E47" s="69"/>
      <c r="F47" s="69"/>
      <c r="G47" s="69"/>
      <c r="H47" s="38"/>
      <c r="I47" s="38">
        <v>13</v>
      </c>
      <c r="J47" s="38">
        <v>1</v>
      </c>
      <c r="K47" s="38">
        <v>1</v>
      </c>
      <c r="L47" s="38">
        <v>45</v>
      </c>
      <c r="M47" s="112">
        <v>1.5</v>
      </c>
      <c r="N47" s="38">
        <f t="shared" si="20"/>
        <v>19.573302016050107</v>
      </c>
      <c r="O47" s="38">
        <f t="shared" si="14"/>
        <v>22.975000000000005</v>
      </c>
      <c r="P47" s="38">
        <f t="shared" si="21"/>
        <v>51.395075000000013</v>
      </c>
      <c r="Q47" s="38">
        <f t="shared" si="10"/>
        <v>22.975000000000005</v>
      </c>
      <c r="R47" s="100">
        <f t="shared" si="22"/>
        <v>383.02900000000017</v>
      </c>
      <c r="S47" s="103">
        <v>9.2100000000000009</v>
      </c>
      <c r="T47" s="97">
        <f t="shared" si="28"/>
        <v>3.6772285429962208</v>
      </c>
      <c r="U47" s="100">
        <f t="shared" si="23"/>
        <v>16.793725335004197</v>
      </c>
      <c r="V47" s="93">
        <f t="shared" si="24"/>
        <v>9.2100000000000009</v>
      </c>
      <c r="W47" s="38">
        <f t="shared" si="29"/>
        <v>1087.5</v>
      </c>
      <c r="X47" s="38">
        <f t="shared" si="25"/>
        <v>183.98655814875008</v>
      </c>
      <c r="Y47" s="38">
        <v>0</v>
      </c>
      <c r="Z47" s="38">
        <f t="shared" si="26"/>
        <v>1138.3403135984709</v>
      </c>
      <c r="AA47" s="38">
        <f t="shared" si="27"/>
        <v>2409.826871747221</v>
      </c>
      <c r="AB47" s="38">
        <f t="shared" si="31"/>
        <v>55365.772378392416</v>
      </c>
      <c r="AC47" s="38">
        <f t="shared" si="30"/>
        <v>91834.227621607584</v>
      </c>
      <c r="AD47" s="127"/>
      <c r="AE47" s="127"/>
      <c r="AF47" s="69"/>
      <c r="AG47" s="69"/>
      <c r="AH47" s="69"/>
      <c r="AI47" s="69"/>
      <c r="AJ47" s="69"/>
      <c r="AK47" s="33"/>
      <c r="AL47" s="33"/>
      <c r="AM47" s="33"/>
      <c r="AN47" s="33"/>
      <c r="AO47" s="33"/>
      <c r="AP47" s="33"/>
      <c r="AQ47" s="33"/>
      <c r="AR47" s="33"/>
      <c r="AS47" s="33"/>
      <c r="AT47" s="33"/>
      <c r="AU47" s="33"/>
      <c r="AV47" s="69"/>
      <c r="AW47" s="69"/>
      <c r="AX47" s="69"/>
      <c r="AY47" s="127"/>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c r="CB47" s="69"/>
      <c r="CC47" s="69"/>
      <c r="CD47" s="69"/>
      <c r="CE47" s="69"/>
      <c r="CF47" s="69"/>
      <c r="CG47" s="69"/>
      <c r="CH47" s="69"/>
      <c r="CI47" s="69"/>
      <c r="CJ47" s="69"/>
      <c r="CK47" s="69"/>
      <c r="CL47" s="69"/>
      <c r="CM47" s="69"/>
      <c r="CN47" s="69"/>
      <c r="CO47" s="69"/>
      <c r="CP47" s="69"/>
      <c r="CQ47" s="69"/>
      <c r="CR47" s="69"/>
      <c r="CS47" s="69"/>
      <c r="CT47" s="69"/>
      <c r="CU47" s="69"/>
      <c r="CV47" s="69"/>
      <c r="CW47" s="69"/>
    </row>
    <row r="48" spans="1:101" ht="19.5" x14ac:dyDescent="0.35">
      <c r="A48" s="69"/>
      <c r="B48" s="69"/>
      <c r="C48" s="69"/>
      <c r="D48" s="69"/>
      <c r="E48" s="69"/>
      <c r="F48" s="69"/>
      <c r="G48" s="69"/>
      <c r="H48" s="38"/>
      <c r="I48" s="38"/>
      <c r="J48" s="38">
        <v>1</v>
      </c>
      <c r="K48" s="38">
        <v>1</v>
      </c>
      <c r="L48" s="38">
        <v>46</v>
      </c>
      <c r="M48" s="112">
        <v>-2.7</v>
      </c>
      <c r="N48" s="38">
        <f t="shared" si="20"/>
        <v>-35.231943628890193</v>
      </c>
      <c r="O48" s="38">
        <f t="shared" si="14"/>
        <v>20.275000000000006</v>
      </c>
      <c r="P48" s="38">
        <f t="shared" si="21"/>
        <v>45.355175000000017</v>
      </c>
      <c r="Q48" s="38">
        <f t="shared" si="10"/>
        <v>20.275000000000006</v>
      </c>
      <c r="R48" s="93">
        <f t="shared" si="22"/>
        <v>403.3040000000002</v>
      </c>
      <c r="S48" s="103">
        <v>3.82</v>
      </c>
      <c r="T48" s="97">
        <f t="shared" si="28"/>
        <v>1.3507649990296451</v>
      </c>
      <c r="U48" s="93">
        <f t="shared" si="23"/>
        <v>18.144490334033843</v>
      </c>
      <c r="V48" s="93">
        <f t="shared" si="24"/>
        <v>3.8200000000000003</v>
      </c>
      <c r="W48" s="38">
        <f t="shared" si="29"/>
        <v>-1957.5000000000002</v>
      </c>
      <c r="X48" s="38">
        <f t="shared" si="25"/>
        <v>143.28369769875007</v>
      </c>
      <c r="Y48" s="38">
        <f>$E$6*$B$5*$B$4</f>
        <v>568.98</v>
      </c>
      <c r="Z48" s="38">
        <f t="shared" si="26"/>
        <v>473.83370477674919</v>
      </c>
      <c r="AA48" s="38">
        <f t="shared" si="27"/>
        <v>-771.40259752450106</v>
      </c>
      <c r="AB48" s="38">
        <f t="shared" si="31"/>
        <v>-15640.187664809264</v>
      </c>
      <c r="AC48" s="38">
        <f t="shared" si="30"/>
        <v>162840.18766480926</v>
      </c>
      <c r="AD48" s="127"/>
      <c r="AE48" s="127"/>
      <c r="AF48" s="69"/>
      <c r="AG48" s="69"/>
      <c r="AH48" s="69"/>
      <c r="AI48" s="69"/>
      <c r="AJ48" s="69"/>
      <c r="AK48" s="33"/>
      <c r="AL48" s="33"/>
      <c r="AM48" s="33"/>
      <c r="AN48" s="33"/>
      <c r="AO48" s="33"/>
      <c r="AP48" s="33"/>
      <c r="AQ48" s="33"/>
      <c r="AR48" s="33"/>
      <c r="AS48" s="33"/>
      <c r="AT48" s="33"/>
      <c r="AU48" s="33"/>
      <c r="AV48" s="69"/>
      <c r="AW48" s="69"/>
      <c r="AX48" s="69"/>
      <c r="AY48" s="127"/>
      <c r="AZ48" s="69"/>
      <c r="BA48" s="69"/>
      <c r="BB48" s="69"/>
      <c r="BC48" s="69"/>
      <c r="BD48" s="69"/>
      <c r="BE48" s="69"/>
      <c r="BF48" s="69"/>
      <c r="BG48" s="69"/>
      <c r="BH48" s="69"/>
      <c r="BI48" s="69"/>
      <c r="BJ48" s="69"/>
      <c r="BK48" s="69"/>
      <c r="BL48" s="69"/>
      <c r="BM48" s="69"/>
      <c r="BN48" s="69"/>
      <c r="BO48" s="69"/>
      <c r="BP48" s="69"/>
      <c r="BQ48" s="69"/>
      <c r="BR48" s="69"/>
      <c r="BS48" s="69"/>
      <c r="BT48" s="110" t="s">
        <v>230</v>
      </c>
      <c r="BU48" s="69"/>
      <c r="BV48" s="69"/>
      <c r="BW48" s="69"/>
      <c r="BX48" s="69"/>
      <c r="BY48" s="69"/>
      <c r="BZ48" s="69"/>
      <c r="CA48" s="69"/>
      <c r="CB48" s="69"/>
      <c r="CC48" s="69"/>
      <c r="CD48" s="69"/>
      <c r="CE48" s="69"/>
      <c r="CF48" s="69"/>
      <c r="CG48" s="69"/>
      <c r="CH48" s="69"/>
      <c r="CI48" s="69"/>
      <c r="CJ48" s="69"/>
      <c r="CK48" s="69"/>
      <c r="CL48" s="69"/>
      <c r="CM48" s="69"/>
      <c r="CN48" s="69"/>
      <c r="CO48" s="69"/>
      <c r="CP48" s="69"/>
      <c r="CQ48" s="69"/>
      <c r="CR48" s="69"/>
      <c r="CS48" s="69"/>
      <c r="CT48" s="69"/>
      <c r="CU48" s="69"/>
      <c r="CV48" s="69"/>
      <c r="CW48" s="69"/>
    </row>
    <row r="49" spans="1:101" ht="19.5" x14ac:dyDescent="0.35">
      <c r="A49" s="69"/>
      <c r="B49" s="69"/>
      <c r="C49" s="69"/>
      <c r="D49" s="69"/>
      <c r="E49" s="69"/>
      <c r="F49" s="69"/>
      <c r="G49" s="69"/>
      <c r="H49" s="96"/>
      <c r="I49" s="38"/>
      <c r="J49" s="38">
        <v>1</v>
      </c>
      <c r="K49" s="38">
        <v>1</v>
      </c>
      <c r="L49" s="38">
        <v>47</v>
      </c>
      <c r="M49" s="112">
        <v>-2.9</v>
      </c>
      <c r="N49" s="38">
        <f t="shared" si="20"/>
        <v>-37.841717231030209</v>
      </c>
      <c r="O49" s="38">
        <f t="shared" si="14"/>
        <v>17.375000000000007</v>
      </c>
      <c r="P49" s="38">
        <f t="shared" si="21"/>
        <v>38.867875000000019</v>
      </c>
      <c r="Q49" s="38">
        <f t="shared" si="10"/>
        <v>17.375000000000007</v>
      </c>
      <c r="R49" s="93">
        <f t="shared" si="22"/>
        <v>420.6790000000002</v>
      </c>
      <c r="S49" s="103">
        <v>9.2068962213459002</v>
      </c>
      <c r="T49" s="97">
        <f t="shared" si="28"/>
        <v>2.7800000000000011</v>
      </c>
      <c r="U49" s="93">
        <f t="shared" si="23"/>
        <v>20.924490334033845</v>
      </c>
      <c r="V49" s="93">
        <f t="shared" si="24"/>
        <v>9.2068962213459002</v>
      </c>
      <c r="W49" s="38">
        <f t="shared" si="29"/>
        <v>-2102.5</v>
      </c>
      <c r="X49" s="38">
        <f t="shared" si="25"/>
        <v>105.22639246875008</v>
      </c>
      <c r="Y49" s="38">
        <f>$E$6*$B$5*$B$4</f>
        <v>568.98</v>
      </c>
      <c r="Z49" s="38">
        <f t="shared" si="26"/>
        <v>1137.96</v>
      </c>
      <c r="AA49" s="38">
        <f t="shared" si="27"/>
        <v>-290.33360753124998</v>
      </c>
      <c r="AB49" s="38">
        <f t="shared" si="31"/>
        <v>-5044.5464308554701</v>
      </c>
      <c r="AC49" s="38">
        <f t="shared" si="30"/>
        <v>152244.54643085547</v>
      </c>
      <c r="AD49" s="127"/>
      <c r="AE49" s="127"/>
      <c r="AF49" s="69"/>
      <c r="AG49" s="69"/>
      <c r="AH49" s="69"/>
      <c r="AI49" s="69"/>
      <c r="AJ49" s="69"/>
      <c r="AK49" s="33"/>
      <c r="AL49" s="33"/>
      <c r="AM49" s="33"/>
      <c r="AN49" s="33"/>
      <c r="AO49" s="33"/>
      <c r="AP49" s="33"/>
      <c r="AQ49" s="33"/>
      <c r="AR49" s="33"/>
      <c r="AS49" s="33"/>
      <c r="AT49" s="33"/>
      <c r="AU49" s="33"/>
      <c r="AV49" s="69"/>
      <c r="AW49" s="69"/>
      <c r="AX49" s="69"/>
      <c r="AY49" s="127"/>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c r="CB49" s="69"/>
      <c r="CC49" s="69"/>
      <c r="CD49" s="69"/>
      <c r="CE49" s="69"/>
      <c r="CF49" s="69"/>
      <c r="CG49" s="69"/>
      <c r="CH49" s="69"/>
      <c r="CI49" s="69"/>
      <c r="CJ49" s="69"/>
      <c r="CK49" s="69"/>
      <c r="CL49" s="69"/>
      <c r="CM49" s="69"/>
      <c r="CN49" s="69"/>
      <c r="CO49" s="69"/>
      <c r="CP49" s="69"/>
      <c r="CQ49" s="69"/>
      <c r="CR49" s="69"/>
      <c r="CS49" s="69"/>
      <c r="CT49" s="69"/>
      <c r="CU49" s="69"/>
      <c r="CV49" s="69"/>
      <c r="CW49" s="69"/>
    </row>
    <row r="50" spans="1:101" ht="19.5" x14ac:dyDescent="0.35">
      <c r="A50" s="69"/>
      <c r="B50" s="69"/>
      <c r="C50" s="69"/>
      <c r="D50" s="69"/>
      <c r="E50" s="69"/>
      <c r="F50" s="69"/>
      <c r="G50" s="69"/>
      <c r="H50" s="38"/>
      <c r="I50" s="38"/>
      <c r="J50" s="38">
        <v>1</v>
      </c>
      <c r="K50" s="38">
        <v>1</v>
      </c>
      <c r="L50" s="38">
        <v>48</v>
      </c>
      <c r="M50" s="112">
        <v>-2.9</v>
      </c>
      <c r="N50" s="38">
        <f t="shared" si="20"/>
        <v>-37.841717231030209</v>
      </c>
      <c r="O50" s="38">
        <f t="shared" si="14"/>
        <v>14.475000000000007</v>
      </c>
      <c r="P50" s="38">
        <f t="shared" si="21"/>
        <v>32.380575000000015</v>
      </c>
      <c r="Q50" s="38">
        <f t="shared" si="10"/>
        <v>14.475000000000007</v>
      </c>
      <c r="R50" s="102">
        <f t="shared" si="22"/>
        <v>435.15400000000022</v>
      </c>
      <c r="S50" s="103">
        <v>6.89</v>
      </c>
      <c r="T50" s="97">
        <f t="shared" si="28"/>
        <v>1.7364726491570799</v>
      </c>
      <c r="U50" s="100">
        <f t="shared" si="23"/>
        <v>22.660962983190924</v>
      </c>
      <c r="V50" s="93">
        <f t="shared" si="24"/>
        <v>6.89</v>
      </c>
      <c r="W50" s="38">
        <f t="shared" si="29"/>
        <v>-2102.5</v>
      </c>
      <c r="X50" s="38">
        <f t="shared" si="25"/>
        <v>73.03183279875006</v>
      </c>
      <c r="Y50" s="38">
        <f t="shared" ref="Y50:Y61" si="32">$E$6*$B$5*$B$4</f>
        <v>568.98</v>
      </c>
      <c r="Z50" s="38">
        <f t="shared" si="26"/>
        <v>853.21088766614412</v>
      </c>
      <c r="AA50" s="38">
        <f t="shared" si="27"/>
        <v>-607.27727953510566</v>
      </c>
      <c r="AB50" s="38">
        <f t="shared" si="31"/>
        <v>-8790.3386212706591</v>
      </c>
      <c r="AC50" s="38">
        <f t="shared" si="30"/>
        <v>155990.33862127067</v>
      </c>
      <c r="AD50" s="127"/>
      <c r="AE50" s="127"/>
      <c r="AF50" s="69"/>
      <c r="AG50" s="69"/>
      <c r="AH50" s="69"/>
      <c r="AI50" s="69"/>
      <c r="AJ50" s="69"/>
      <c r="AK50" s="33"/>
      <c r="AL50" s="33"/>
      <c r="AM50" s="33"/>
      <c r="AN50" s="33"/>
      <c r="AO50" s="33"/>
      <c r="AP50" s="33"/>
      <c r="AQ50" s="33"/>
      <c r="AR50" s="33"/>
      <c r="AS50" s="33"/>
      <c r="AT50" s="33"/>
      <c r="AU50" s="33"/>
      <c r="AV50" s="69"/>
      <c r="AW50" s="69"/>
      <c r="AX50" s="69"/>
      <c r="AY50" s="127"/>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c r="CB50" s="69"/>
      <c r="CC50" s="69"/>
      <c r="CD50" s="69"/>
      <c r="CE50" s="69"/>
      <c r="CF50" s="69"/>
      <c r="CG50" s="69"/>
      <c r="CH50" s="69"/>
      <c r="CI50" s="69"/>
      <c r="CJ50" s="69"/>
      <c r="CK50" s="69"/>
      <c r="CL50" s="69"/>
      <c r="CM50" s="69"/>
      <c r="CN50" s="69"/>
      <c r="CO50" s="69"/>
      <c r="CP50" s="69"/>
      <c r="CQ50" s="69"/>
      <c r="CR50" s="69"/>
      <c r="CS50" s="69"/>
      <c r="CT50" s="69"/>
      <c r="CU50" s="69"/>
      <c r="CV50" s="69"/>
      <c r="CW50" s="69"/>
    </row>
    <row r="51" spans="1:101" ht="19.5" x14ac:dyDescent="0.35">
      <c r="A51" s="69"/>
      <c r="B51" s="69"/>
      <c r="C51" s="69"/>
      <c r="D51" s="69"/>
      <c r="E51" s="69"/>
      <c r="F51" s="69"/>
      <c r="G51" s="69"/>
      <c r="H51" s="38"/>
      <c r="I51" s="38"/>
      <c r="J51" s="38">
        <v>1</v>
      </c>
      <c r="K51" s="38">
        <v>1</v>
      </c>
      <c r="L51" s="38">
        <v>49</v>
      </c>
      <c r="M51" s="112">
        <v>-2</v>
      </c>
      <c r="N51" s="38">
        <f t="shared" si="20"/>
        <v>-26.097736021400141</v>
      </c>
      <c r="O51" s="38">
        <f t="shared" si="14"/>
        <v>12.475000000000007</v>
      </c>
      <c r="P51" s="38">
        <f t="shared" si="21"/>
        <v>27.906575000000018</v>
      </c>
      <c r="Q51" s="38">
        <f t="shared" si="10"/>
        <v>12.475000000000007</v>
      </c>
      <c r="R51" s="93">
        <f t="shared" si="22"/>
        <v>447.62900000000025</v>
      </c>
      <c r="S51" s="103">
        <v>6.89</v>
      </c>
      <c r="T51" s="97">
        <f t="shared" si="28"/>
        <v>1.496545512831404</v>
      </c>
      <c r="U51" s="93">
        <f t="shared" si="23"/>
        <v>24.157508496022327</v>
      </c>
      <c r="V51" s="93">
        <f t="shared" si="24"/>
        <v>6.89</v>
      </c>
      <c r="W51" s="38">
        <f t="shared" si="29"/>
        <v>-1450</v>
      </c>
      <c r="X51" s="38">
        <f t="shared" si="25"/>
        <v>54.244556598750052</v>
      </c>
      <c r="Y51" s="38">
        <f t="shared" si="32"/>
        <v>568.98</v>
      </c>
      <c r="Z51" s="38">
        <f t="shared" si="26"/>
        <v>853.21088766614412</v>
      </c>
      <c r="AA51" s="38">
        <f t="shared" si="27"/>
        <v>26.435444264894159</v>
      </c>
      <c r="AB51" s="38">
        <f t="shared" si="31"/>
        <v>329.78216720455481</v>
      </c>
      <c r="AC51" s="38">
        <f t="shared" si="30"/>
        <v>146870.21783279543</v>
      </c>
      <c r="AD51" s="127"/>
      <c r="AE51" s="127"/>
      <c r="AF51" s="69"/>
      <c r="AG51" s="69"/>
      <c r="AH51" s="69"/>
      <c r="AI51" s="69"/>
      <c r="AJ51" s="69"/>
      <c r="AK51" s="33"/>
      <c r="AL51" s="33"/>
      <c r="AM51" s="33"/>
      <c r="AN51" s="33"/>
      <c r="AO51" s="33"/>
      <c r="AP51" s="33"/>
      <c r="AQ51" s="33"/>
      <c r="AR51" s="33"/>
      <c r="AS51" s="33"/>
      <c r="AT51" s="33"/>
      <c r="AU51" s="33"/>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69"/>
      <c r="BW51" s="69"/>
      <c r="BX51" s="69"/>
      <c r="BY51" s="69"/>
      <c r="BZ51" s="69"/>
      <c r="CA51" s="69"/>
      <c r="CB51" s="69"/>
      <c r="CC51" s="69"/>
      <c r="CD51" s="69"/>
      <c r="CE51" s="69"/>
      <c r="CF51" s="69"/>
      <c r="CG51" s="69"/>
      <c r="CH51" s="69"/>
      <c r="CI51" s="69"/>
      <c r="CJ51" s="69"/>
      <c r="CK51" s="69"/>
      <c r="CL51" s="69"/>
      <c r="CM51" s="69"/>
      <c r="CN51" s="69"/>
      <c r="CO51" s="69"/>
      <c r="CP51" s="69"/>
      <c r="CQ51" s="69"/>
      <c r="CR51" s="69"/>
      <c r="CS51" s="69"/>
      <c r="CT51" s="69"/>
      <c r="CU51" s="69"/>
      <c r="CV51" s="69"/>
      <c r="CW51" s="69"/>
    </row>
    <row r="52" spans="1:101" ht="19.5" x14ac:dyDescent="0.35">
      <c r="A52" s="69"/>
      <c r="B52" s="69"/>
      <c r="C52" s="69"/>
      <c r="D52" s="69"/>
      <c r="E52" s="69"/>
      <c r="F52" s="69"/>
      <c r="G52" s="69"/>
      <c r="H52" s="38"/>
      <c r="I52" s="38"/>
      <c r="J52" s="38">
        <v>1</v>
      </c>
      <c r="K52" s="38">
        <v>1</v>
      </c>
      <c r="L52" s="38">
        <v>50</v>
      </c>
      <c r="M52" s="112">
        <v>-2</v>
      </c>
      <c r="N52" s="38">
        <f t="shared" si="20"/>
        <v>-26.097736021400141</v>
      </c>
      <c r="O52" s="38">
        <f t="shared" si="14"/>
        <v>10.475000000000007</v>
      </c>
      <c r="P52" s="38">
        <f t="shared" si="21"/>
        <v>23.432575000000018</v>
      </c>
      <c r="Q52" s="38">
        <f t="shared" si="10"/>
        <v>10.475000000000007</v>
      </c>
      <c r="R52" s="93">
        <f t="shared" si="22"/>
        <v>458.10400000000027</v>
      </c>
      <c r="S52" s="103">
        <v>6.89</v>
      </c>
      <c r="T52" s="97">
        <f t="shared" si="28"/>
        <v>1.2566183765057282</v>
      </c>
      <c r="U52" s="93">
        <f t="shared" si="23"/>
        <v>25.414126872528055</v>
      </c>
      <c r="V52" s="93">
        <f t="shared" si="24"/>
        <v>6.89</v>
      </c>
      <c r="W52" s="38">
        <f t="shared" si="29"/>
        <v>-1450</v>
      </c>
      <c r="X52" s="38">
        <f t="shared" si="25"/>
        <v>38.245744398750048</v>
      </c>
      <c r="Y52" s="38">
        <f t="shared" si="32"/>
        <v>568.98</v>
      </c>
      <c r="Z52" s="38">
        <f t="shared" si="26"/>
        <v>853.21088766614412</v>
      </c>
      <c r="AA52" s="38">
        <f t="shared" si="27"/>
        <v>10.436632064894184</v>
      </c>
      <c r="AB52" s="38">
        <f t="shared" si="31"/>
        <v>109.32372087976664</v>
      </c>
      <c r="AC52" s="38">
        <f t="shared" si="30"/>
        <v>147090.67627912023</v>
      </c>
      <c r="AD52" s="127"/>
      <c r="AE52" s="127"/>
      <c r="AF52" s="69"/>
      <c r="AG52" s="69"/>
      <c r="AH52" s="69"/>
      <c r="AI52" s="69"/>
      <c r="AJ52" s="69"/>
      <c r="AK52" s="33"/>
      <c r="AL52" s="33"/>
      <c r="AM52" s="33"/>
      <c r="AN52" s="33"/>
      <c r="AO52" s="33"/>
      <c r="AP52" s="33"/>
      <c r="AQ52" s="33"/>
      <c r="AR52" s="33"/>
      <c r="AS52" s="33"/>
      <c r="AT52" s="33"/>
      <c r="AU52" s="33"/>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c r="CB52" s="69"/>
      <c r="CC52" s="69"/>
      <c r="CD52" s="69"/>
      <c r="CE52" s="69"/>
      <c r="CF52" s="69"/>
      <c r="CG52" s="69"/>
      <c r="CH52" s="69"/>
      <c r="CI52" s="69"/>
      <c r="CJ52" s="69"/>
      <c r="CK52" s="69"/>
      <c r="CL52" s="69"/>
      <c r="CM52" s="69"/>
      <c r="CN52" s="69"/>
      <c r="CO52" s="69"/>
      <c r="CP52" s="69"/>
      <c r="CQ52" s="69"/>
      <c r="CR52" s="69"/>
      <c r="CS52" s="69"/>
      <c r="CT52" s="69"/>
      <c r="CU52" s="69"/>
      <c r="CV52" s="69"/>
      <c r="CW52" s="69"/>
    </row>
    <row r="53" spans="1:101" ht="19.5" x14ac:dyDescent="0.35">
      <c r="A53" s="69"/>
      <c r="B53" s="69"/>
      <c r="C53" s="69"/>
      <c r="D53" s="69"/>
      <c r="E53" s="69"/>
      <c r="F53" s="69"/>
      <c r="G53" s="69"/>
      <c r="H53" s="38"/>
      <c r="I53" s="38"/>
      <c r="J53" s="38">
        <v>1</v>
      </c>
      <c r="K53" s="38">
        <v>1</v>
      </c>
      <c r="L53" s="38">
        <v>51</v>
      </c>
      <c r="M53" s="112">
        <v>-1.9</v>
      </c>
      <c r="N53" s="38">
        <f t="shared" si="20"/>
        <v>-24.792849220330133</v>
      </c>
      <c r="O53" s="38">
        <f t="shared" si="14"/>
        <v>8.5750000000000064</v>
      </c>
      <c r="P53" s="38">
        <f t="shared" si="21"/>
        <v>19.182275000000015</v>
      </c>
      <c r="Q53" s="38">
        <f t="shared" si="10"/>
        <v>8.5750000000000064</v>
      </c>
      <c r="R53" s="93">
        <f t="shared" si="22"/>
        <v>466.67900000000026</v>
      </c>
      <c r="S53" s="103">
        <v>6.89</v>
      </c>
      <c r="T53" s="97">
        <f t="shared" si="28"/>
        <v>1.0286875969963361</v>
      </c>
      <c r="U53" s="93">
        <f t="shared" si="23"/>
        <v>26.442814469524389</v>
      </c>
      <c r="V53" s="93">
        <f t="shared" si="24"/>
        <v>6.89</v>
      </c>
      <c r="W53" s="38">
        <f t="shared" si="29"/>
        <v>-1377.5</v>
      </c>
      <c r="X53" s="38">
        <f t="shared" si="25"/>
        <v>25.629687588750038</v>
      </c>
      <c r="Y53" s="38">
        <f t="shared" si="32"/>
        <v>568.98</v>
      </c>
      <c r="Z53" s="38">
        <f t="shared" si="26"/>
        <v>853.21088766614412</v>
      </c>
      <c r="AA53" s="38">
        <f t="shared" si="27"/>
        <v>70.320575254894266</v>
      </c>
      <c r="AB53" s="38">
        <f t="shared" si="31"/>
        <v>602.99893281071877</v>
      </c>
      <c r="AC53" s="38">
        <f t="shared" si="30"/>
        <v>146597.00106718927</v>
      </c>
      <c r="AD53" s="127"/>
      <c r="AE53" s="127"/>
      <c r="AF53" s="69"/>
      <c r="AG53" s="69"/>
      <c r="AH53" s="69"/>
      <c r="AI53" s="69"/>
      <c r="AJ53" s="69"/>
      <c r="AK53" s="33"/>
      <c r="AL53" s="33"/>
      <c r="AM53" s="33"/>
      <c r="AN53" s="33"/>
      <c r="AO53" s="33"/>
      <c r="AP53" s="33"/>
      <c r="AQ53" s="33"/>
      <c r="AR53" s="33"/>
      <c r="AS53" s="33"/>
      <c r="AT53" s="33"/>
      <c r="AU53" s="33"/>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c r="CB53" s="69"/>
      <c r="CC53" s="69"/>
      <c r="CD53" s="69"/>
      <c r="CE53" s="69"/>
      <c r="CF53" s="69"/>
      <c r="CG53" s="69"/>
      <c r="CH53" s="69"/>
      <c r="CI53" s="69"/>
      <c r="CJ53" s="69"/>
      <c r="CK53" s="69"/>
      <c r="CL53" s="69"/>
      <c r="CM53" s="69"/>
      <c r="CN53" s="69"/>
      <c r="CO53" s="69"/>
      <c r="CP53" s="69"/>
      <c r="CQ53" s="69"/>
      <c r="CR53" s="69"/>
      <c r="CS53" s="69"/>
      <c r="CT53" s="69"/>
      <c r="CU53" s="69"/>
      <c r="CV53" s="69"/>
      <c r="CW53" s="69"/>
    </row>
    <row r="54" spans="1:101" ht="19.5" x14ac:dyDescent="0.35">
      <c r="A54" s="69"/>
      <c r="B54" s="69"/>
      <c r="C54" s="69"/>
      <c r="D54" s="69"/>
      <c r="E54" s="69"/>
      <c r="F54" s="69"/>
      <c r="G54" s="69"/>
      <c r="H54" s="96"/>
      <c r="I54" s="38"/>
      <c r="J54" s="38">
        <v>1</v>
      </c>
      <c r="K54" s="38">
        <v>1</v>
      </c>
      <c r="L54" s="38">
        <v>52</v>
      </c>
      <c r="M54" s="112">
        <v>-1.6</v>
      </c>
      <c r="N54" s="38">
        <f t="shared" si="20"/>
        <v>-20.878188817120115</v>
      </c>
      <c r="O54" s="38">
        <f t="shared" si="14"/>
        <v>6.9750000000000068</v>
      </c>
      <c r="P54" s="38">
        <f t="shared" si="21"/>
        <v>15.603075000000016</v>
      </c>
      <c r="Q54" s="38">
        <f t="shared" si="10"/>
        <v>6.9750000000000068</v>
      </c>
      <c r="R54" s="93">
        <f t="shared" si="22"/>
        <v>473.65400000000028</v>
      </c>
      <c r="S54" s="103">
        <v>6.89</v>
      </c>
      <c r="T54" s="97">
        <f t="shared" si="28"/>
        <v>0.83674588793579541</v>
      </c>
      <c r="U54" s="93">
        <f t="shared" si="23"/>
        <v>27.279560357460184</v>
      </c>
      <c r="V54" s="93">
        <f t="shared" si="24"/>
        <v>6.89</v>
      </c>
      <c r="W54" s="38">
        <f t="shared" si="29"/>
        <v>-1160</v>
      </c>
      <c r="X54" s="38">
        <f t="shared" si="25"/>
        <v>16.957564548750032</v>
      </c>
      <c r="Y54" s="38">
        <f t="shared" si="32"/>
        <v>568.98</v>
      </c>
      <c r="Z54" s="38">
        <f t="shared" si="26"/>
        <v>853.21088766614412</v>
      </c>
      <c r="AA54" s="38">
        <f t="shared" si="27"/>
        <v>279.14845221489418</v>
      </c>
      <c r="AB54" s="38">
        <f t="shared" si="31"/>
        <v>1947.0604541988887</v>
      </c>
      <c r="AC54" s="38">
        <f t="shared" si="30"/>
        <v>145252.93954580111</v>
      </c>
      <c r="AD54" s="127"/>
      <c r="AE54" s="127"/>
      <c r="AF54" s="69"/>
      <c r="AG54" s="69"/>
      <c r="AH54" s="69"/>
      <c r="AI54" s="69"/>
      <c r="AJ54" s="69"/>
      <c r="AK54" s="33"/>
      <c r="AL54" s="33"/>
      <c r="AM54" s="33"/>
      <c r="AN54" s="33"/>
      <c r="AO54" s="33"/>
      <c r="AP54" s="33"/>
      <c r="AQ54" s="33"/>
      <c r="AR54" s="33"/>
      <c r="AS54" s="33"/>
      <c r="AT54" s="33"/>
      <c r="AU54" s="33"/>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c r="CT54" s="69"/>
      <c r="CU54" s="69"/>
      <c r="CV54" s="69"/>
      <c r="CW54" s="69"/>
    </row>
    <row r="55" spans="1:101" ht="19.5" x14ac:dyDescent="0.35">
      <c r="A55" s="69"/>
      <c r="B55" s="69"/>
      <c r="C55" s="69"/>
      <c r="D55" s="69"/>
      <c r="E55" s="69"/>
      <c r="F55" s="69"/>
      <c r="G55" s="69"/>
      <c r="H55" s="38"/>
      <c r="I55" s="38"/>
      <c r="J55" s="38">
        <v>1</v>
      </c>
      <c r="K55" s="38">
        <v>1</v>
      </c>
      <c r="L55" s="38">
        <v>53</v>
      </c>
      <c r="M55" s="112">
        <v>-1.5</v>
      </c>
      <c r="N55" s="38">
        <f t="shared" si="20"/>
        <v>-19.573302016050107</v>
      </c>
      <c r="O55" s="38">
        <f t="shared" si="14"/>
        <v>5.4750000000000068</v>
      </c>
      <c r="P55" s="38">
        <f t="shared" si="21"/>
        <v>12.247575000000015</v>
      </c>
      <c r="Q55" s="38">
        <f t="shared" si="10"/>
        <v>5.4750000000000068</v>
      </c>
      <c r="R55" s="100">
        <f t="shared" si="22"/>
        <v>479.1290000000003</v>
      </c>
      <c r="S55" s="103">
        <v>-1.99</v>
      </c>
      <c r="T55" s="97">
        <f t="shared" si="28"/>
        <v>-0.19011975588140392</v>
      </c>
      <c r="U55" s="100">
        <f t="shared" si="23"/>
        <v>27.089440601578779</v>
      </c>
      <c r="V55" s="93">
        <f t="shared" si="24"/>
        <v>-1.9899999999999998</v>
      </c>
      <c r="W55" s="38">
        <f t="shared" si="29"/>
        <v>-1087.5</v>
      </c>
      <c r="X55" s="38">
        <f t="shared" si="25"/>
        <v>10.448243898750025</v>
      </c>
      <c r="Y55" s="38">
        <f t="shared" si="32"/>
        <v>568.98</v>
      </c>
      <c r="Z55" s="38">
        <f t="shared" si="26"/>
        <v>-246.97337603059606</v>
      </c>
      <c r="AA55" s="38">
        <f t="shared" si="27"/>
        <v>-755.045132131846</v>
      </c>
      <c r="AB55" s="38">
        <f t="shared" si="31"/>
        <v>-4133.8720984218617</v>
      </c>
      <c r="AC55" s="38">
        <f t="shared" si="30"/>
        <v>151333.87209842185</v>
      </c>
      <c r="AD55" s="127"/>
      <c r="AE55" s="127"/>
      <c r="AF55" s="69"/>
      <c r="AG55" s="69"/>
      <c r="AH55" s="69"/>
      <c r="AI55" s="69"/>
      <c r="AJ55" s="69"/>
      <c r="AK55" s="33"/>
      <c r="AL55" s="33"/>
      <c r="AM55" s="33"/>
      <c r="AN55" s="33"/>
      <c r="AO55" s="33"/>
      <c r="AP55" s="33"/>
      <c r="AQ55" s="33"/>
      <c r="AR55" s="33"/>
      <c r="AS55" s="33"/>
      <c r="AT55" s="33"/>
      <c r="AU55" s="33"/>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c r="CT55" s="69"/>
      <c r="CU55" s="69"/>
      <c r="CV55" s="69"/>
      <c r="CW55" s="69"/>
    </row>
    <row r="56" spans="1:101" ht="19.5" x14ac:dyDescent="0.35">
      <c r="A56" s="69"/>
      <c r="B56" s="69"/>
      <c r="C56" s="69"/>
      <c r="D56" s="69"/>
      <c r="E56" s="69"/>
      <c r="F56" s="69"/>
      <c r="G56" s="69"/>
      <c r="H56" s="38"/>
      <c r="I56" s="38"/>
      <c r="J56" s="38">
        <v>1</v>
      </c>
      <c r="K56" s="38">
        <v>1</v>
      </c>
      <c r="L56" s="38">
        <v>54</v>
      </c>
      <c r="M56" s="112">
        <v>1.3</v>
      </c>
      <c r="N56" s="38">
        <f t="shared" si="20"/>
        <v>16.963528413910094</v>
      </c>
      <c r="O56" s="38">
        <f t="shared" si="14"/>
        <v>6.7750000000000066</v>
      </c>
      <c r="P56" s="38">
        <f t="shared" si="21"/>
        <v>15.155675000000015</v>
      </c>
      <c r="Q56" s="38">
        <f t="shared" si="10"/>
        <v>6.7750000000000066</v>
      </c>
      <c r="R56" s="93">
        <f t="shared" si="22"/>
        <v>485.90400000000034</v>
      </c>
      <c r="S56" s="103">
        <v>-1.99</v>
      </c>
      <c r="T56" s="97">
        <f t="shared" si="28"/>
        <v>-0.23526234631899748</v>
      </c>
      <c r="U56" s="93">
        <f t="shared" si="23"/>
        <v>26.854178255259782</v>
      </c>
      <c r="V56" s="93">
        <f t="shared" si="24"/>
        <v>-1.9899999999999998</v>
      </c>
      <c r="W56" s="38">
        <f t="shared" si="29"/>
        <v>942.5</v>
      </c>
      <c r="X56" s="38">
        <f t="shared" si="25"/>
        <v>15.999030048750031</v>
      </c>
      <c r="Y56" s="38">
        <f t="shared" si="32"/>
        <v>568.98</v>
      </c>
      <c r="Z56" s="38">
        <f t="shared" si="26"/>
        <v>-246.97337603059606</v>
      </c>
      <c r="AA56" s="38">
        <f t="shared" si="27"/>
        <v>1280.505654018154</v>
      </c>
      <c r="AB56" s="38">
        <f t="shared" si="31"/>
        <v>8675.4258059730018</v>
      </c>
      <c r="AC56" s="38">
        <f t="shared" si="30"/>
        <v>138524.57419402699</v>
      </c>
      <c r="AD56" s="127"/>
      <c r="AE56" s="127"/>
      <c r="AF56" s="69"/>
      <c r="AG56" s="69"/>
      <c r="AH56" s="69"/>
      <c r="AI56" s="69"/>
      <c r="AJ56" s="69"/>
      <c r="AK56" s="33"/>
      <c r="AL56" s="33"/>
      <c r="AM56" s="33"/>
      <c r="AN56" s="33"/>
      <c r="AO56" s="33"/>
      <c r="AP56" s="33"/>
      <c r="AQ56" s="33"/>
      <c r="AR56" s="33"/>
      <c r="AS56" s="33"/>
      <c r="AT56" s="33"/>
      <c r="AU56" s="33"/>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c r="CT56" s="69"/>
      <c r="CU56" s="69"/>
      <c r="CV56" s="69"/>
      <c r="CW56" s="69"/>
    </row>
    <row r="57" spans="1:101" ht="19.5" x14ac:dyDescent="0.35">
      <c r="A57" s="69"/>
      <c r="B57" s="69"/>
      <c r="C57" s="69"/>
      <c r="D57" s="69"/>
      <c r="E57" s="69"/>
      <c r="F57" s="69"/>
      <c r="G57" s="69"/>
      <c r="H57" s="96"/>
      <c r="I57" s="38"/>
      <c r="J57" s="38">
        <v>1</v>
      </c>
      <c r="K57" s="38">
        <v>1</v>
      </c>
      <c r="L57" s="38">
        <v>55</v>
      </c>
      <c r="M57" s="112">
        <v>1.5</v>
      </c>
      <c r="N57" s="38">
        <f t="shared" si="20"/>
        <v>19.573302016050107</v>
      </c>
      <c r="O57" s="38">
        <f t="shared" si="14"/>
        <v>8.2750000000000057</v>
      </c>
      <c r="P57" s="38">
        <f t="shared" si="21"/>
        <v>18.511175000000012</v>
      </c>
      <c r="Q57" s="38">
        <f t="shared" si="10"/>
        <v>8.2750000000000057</v>
      </c>
      <c r="R57" s="93">
        <f t="shared" si="22"/>
        <v>494.17900000000031</v>
      </c>
      <c r="S57" s="103">
        <v>-1.99</v>
      </c>
      <c r="T57" s="97">
        <f t="shared" si="28"/>
        <v>-0.28734995067006697</v>
      </c>
      <c r="U57" s="93">
        <f t="shared" si="23"/>
        <v>26.566828304589716</v>
      </c>
      <c r="V57" s="93">
        <f t="shared" si="24"/>
        <v>-1.9899999999999998</v>
      </c>
      <c r="W57" s="38">
        <f t="shared" si="29"/>
        <v>1087.5</v>
      </c>
      <c r="X57" s="38">
        <f t="shared" si="25"/>
        <v>23.867726898750032</v>
      </c>
      <c r="Y57" s="38">
        <f t="shared" si="32"/>
        <v>568.98</v>
      </c>
      <c r="Z57" s="38">
        <f t="shared" si="26"/>
        <v>-246.97337603059606</v>
      </c>
      <c r="AA57" s="38">
        <f t="shared" si="27"/>
        <v>1433.3743508681539</v>
      </c>
      <c r="AB57" s="38">
        <f t="shared" si="31"/>
        <v>11861.172753433983</v>
      </c>
      <c r="AC57" s="38">
        <f t="shared" si="30"/>
        <v>135338.82724656601</v>
      </c>
      <c r="AD57" s="127"/>
      <c r="AE57" s="127"/>
      <c r="AF57" s="69"/>
      <c r="AG57" s="69"/>
      <c r="AH57" s="69"/>
      <c r="AI57" s="69"/>
      <c r="AJ57" s="69"/>
      <c r="AK57" s="33"/>
      <c r="AL57" s="33"/>
      <c r="AM57" s="33"/>
      <c r="AN57" s="33"/>
      <c r="AO57" s="33"/>
      <c r="AP57" s="33"/>
      <c r="AQ57" s="33"/>
      <c r="AR57" s="33"/>
      <c r="AS57" s="33"/>
      <c r="AT57" s="33"/>
      <c r="AU57" s="33"/>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c r="CT57" s="69"/>
      <c r="CU57" s="69"/>
      <c r="CV57" s="69"/>
      <c r="CW57" s="69"/>
    </row>
    <row r="58" spans="1:101" ht="19.5" x14ac:dyDescent="0.35">
      <c r="A58" s="69"/>
      <c r="B58" s="69"/>
      <c r="C58" s="69"/>
      <c r="D58" s="69"/>
      <c r="E58" s="69"/>
      <c r="F58" s="69"/>
      <c r="G58" s="69"/>
      <c r="H58" s="38"/>
      <c r="I58" s="38"/>
      <c r="J58" s="38">
        <v>1</v>
      </c>
      <c r="K58" s="38">
        <v>1</v>
      </c>
      <c r="L58" s="38">
        <v>56</v>
      </c>
      <c r="M58" s="112">
        <v>2.4</v>
      </c>
      <c r="N58" s="38">
        <f t="shared" si="20"/>
        <v>31.317283225680171</v>
      </c>
      <c r="O58" s="38">
        <f t="shared" si="14"/>
        <v>10.675000000000006</v>
      </c>
      <c r="P58" s="38">
        <f t="shared" si="21"/>
        <v>23.879975000000016</v>
      </c>
      <c r="Q58" s="38">
        <f t="shared" si="10"/>
        <v>10.675000000000006</v>
      </c>
      <c r="R58" s="100">
        <f t="shared" si="22"/>
        <v>504.85400000000033</v>
      </c>
      <c r="S58" s="103">
        <v>-5.51</v>
      </c>
      <c r="T58" s="97">
        <f t="shared" si="28"/>
        <v>-1.0250079540147004</v>
      </c>
      <c r="U58" s="100">
        <f t="shared" si="23"/>
        <v>25.541820350575016</v>
      </c>
      <c r="V58" s="93">
        <f t="shared" si="24"/>
        <v>-5.5100000000000007</v>
      </c>
      <c r="W58" s="38">
        <f t="shared" si="29"/>
        <v>1740</v>
      </c>
      <c r="X58" s="38">
        <f t="shared" si="25"/>
        <v>39.720144738750044</v>
      </c>
      <c r="Y58" s="38">
        <f t="shared" si="32"/>
        <v>568.98</v>
      </c>
      <c r="Z58" s="38">
        <f t="shared" si="26"/>
        <v>-682.91454997105848</v>
      </c>
      <c r="AA58" s="38">
        <f t="shared" si="27"/>
        <v>1665.7855947676917</v>
      </c>
      <c r="AB58" s="38">
        <f t="shared" si="31"/>
        <v>17782.261224145121</v>
      </c>
      <c r="AC58" s="38">
        <f t="shared" si="30"/>
        <v>129417.73877585487</v>
      </c>
      <c r="AD58" s="127"/>
      <c r="AE58" s="127"/>
      <c r="AF58" s="69"/>
      <c r="AG58" s="69"/>
      <c r="AH58" s="69"/>
      <c r="AI58" s="69"/>
      <c r="AJ58" s="69"/>
      <c r="AK58" s="33"/>
      <c r="AL58" s="33"/>
      <c r="AM58" s="33"/>
      <c r="AN58" s="33"/>
      <c r="AO58" s="33"/>
      <c r="AP58" s="33"/>
      <c r="AQ58" s="33"/>
      <c r="AR58" s="33"/>
      <c r="AS58" s="33"/>
      <c r="AT58" s="33"/>
      <c r="AU58" s="33"/>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c r="CT58" s="69"/>
      <c r="CU58" s="69"/>
      <c r="CV58" s="69"/>
      <c r="CW58" s="69"/>
    </row>
    <row r="59" spans="1:101" ht="19.5" x14ac:dyDescent="0.35">
      <c r="A59" s="69"/>
      <c r="B59" s="69"/>
      <c r="C59" s="69"/>
      <c r="D59" s="69"/>
      <c r="E59" s="69"/>
      <c r="F59" s="69"/>
      <c r="G59" s="69"/>
      <c r="H59" s="96"/>
      <c r="I59" s="38"/>
      <c r="J59" s="38">
        <v>1</v>
      </c>
      <c r="K59" s="38">
        <v>1</v>
      </c>
      <c r="L59" s="38">
        <v>57</v>
      </c>
      <c r="M59" s="111">
        <v>3</v>
      </c>
      <c r="N59" s="38">
        <f t="shared" si="20"/>
        <v>39.146604032100214</v>
      </c>
      <c r="O59" s="38">
        <f t="shared" si="14"/>
        <v>13.675000000000006</v>
      </c>
      <c r="P59" s="38">
        <f t="shared" si="21"/>
        <v>30.590975000000014</v>
      </c>
      <c r="Q59" s="38">
        <f t="shared" si="10"/>
        <v>13.675000000000006</v>
      </c>
      <c r="R59" s="93">
        <f t="shared" si="22"/>
        <v>518.52900000000034</v>
      </c>
      <c r="S59" s="103">
        <v>-5.51</v>
      </c>
      <c r="T59" s="97">
        <f t="shared" si="28"/>
        <v>-1.3130663954239836</v>
      </c>
      <c r="U59" s="93">
        <f t="shared" si="23"/>
        <v>24.228753955151031</v>
      </c>
      <c r="V59" s="93">
        <f t="shared" si="24"/>
        <v>-5.51</v>
      </c>
      <c r="W59" s="38">
        <f t="shared" si="29"/>
        <v>2175</v>
      </c>
      <c r="X59" s="38">
        <f t="shared" si="25"/>
        <v>65.182306638750049</v>
      </c>
      <c r="Y59" s="38">
        <f t="shared" si="32"/>
        <v>568.98</v>
      </c>
      <c r="Z59" s="38">
        <f t="shared" si="26"/>
        <v>-682.91454997105836</v>
      </c>
      <c r="AA59" s="38">
        <f t="shared" si="27"/>
        <v>2126.2477566676916</v>
      </c>
      <c r="AB59" s="38">
        <f t="shared" si="31"/>
        <v>29076.438072430698</v>
      </c>
      <c r="AC59" s="38">
        <f t="shared" si="30"/>
        <v>118123.5619275693</v>
      </c>
      <c r="AD59" s="127"/>
      <c r="AE59" s="127"/>
      <c r="AF59" s="69"/>
      <c r="AG59" s="69"/>
      <c r="AH59" s="69"/>
      <c r="AI59" s="69"/>
      <c r="AJ59" s="69"/>
      <c r="AK59" s="33"/>
      <c r="AL59" s="33"/>
      <c r="AM59" s="33"/>
      <c r="AN59" s="33"/>
      <c r="AO59" s="33"/>
      <c r="AP59" s="33"/>
      <c r="AQ59" s="33"/>
      <c r="AR59" s="33"/>
      <c r="AS59" s="33"/>
      <c r="AT59" s="33"/>
      <c r="AU59" s="33"/>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row>
    <row r="60" spans="1:101" ht="19.5" x14ac:dyDescent="0.35">
      <c r="A60" s="69"/>
      <c r="B60" s="69"/>
      <c r="C60" s="69"/>
      <c r="D60" s="69"/>
      <c r="E60" s="69"/>
      <c r="F60" s="69"/>
      <c r="G60" s="69"/>
      <c r="H60" s="38"/>
      <c r="I60" s="38"/>
      <c r="J60" s="38">
        <v>1</v>
      </c>
      <c r="K60" s="38">
        <v>1</v>
      </c>
      <c r="L60" s="38">
        <v>58</v>
      </c>
      <c r="M60" s="111">
        <v>3.4</v>
      </c>
      <c r="N60" s="38">
        <f t="shared" si="20"/>
        <v>44.36615123638024</v>
      </c>
      <c r="O60" s="38">
        <f t="shared" si="14"/>
        <v>17.075000000000006</v>
      </c>
      <c r="P60" s="38">
        <f t="shared" si="21"/>
        <v>38.196775000000017</v>
      </c>
      <c r="Q60" s="38">
        <f t="shared" si="10"/>
        <v>17.075000000000006</v>
      </c>
      <c r="R60" s="93">
        <f t="shared" si="22"/>
        <v>535.60400000000038</v>
      </c>
      <c r="S60" s="103">
        <v>-5.51</v>
      </c>
      <c r="T60" s="97">
        <f t="shared" si="28"/>
        <v>-1.6395326290211714</v>
      </c>
      <c r="U60" s="93">
        <f t="shared" si="23"/>
        <v>22.589221326129859</v>
      </c>
      <c r="V60" s="93">
        <f t="shared" si="24"/>
        <v>-5.51</v>
      </c>
      <c r="W60" s="38">
        <f t="shared" si="29"/>
        <v>2465</v>
      </c>
      <c r="X60" s="38">
        <f t="shared" si="25"/>
        <v>101.62404553875007</v>
      </c>
      <c r="Y60" s="38">
        <f t="shared" si="32"/>
        <v>568.98</v>
      </c>
      <c r="Z60" s="38">
        <f t="shared" si="26"/>
        <v>-682.91454997105836</v>
      </c>
      <c r="AA60" s="38">
        <f t="shared" si="27"/>
        <v>2452.6894955676917</v>
      </c>
      <c r="AB60" s="38">
        <f t="shared" si="31"/>
        <v>41879.673136818354</v>
      </c>
      <c r="AC60" s="38">
        <f t="shared" si="30"/>
        <v>105320.32686318165</v>
      </c>
      <c r="AD60" s="127"/>
      <c r="AE60" s="127"/>
      <c r="AF60" s="69"/>
      <c r="AG60" s="69"/>
      <c r="AH60" s="69"/>
      <c r="AI60" s="69"/>
      <c r="AJ60" s="69"/>
      <c r="AK60" s="33"/>
      <c r="AL60" s="33"/>
      <c r="AM60" s="33"/>
      <c r="AN60" s="33"/>
      <c r="AO60" s="33"/>
      <c r="AP60" s="33"/>
      <c r="AQ60" s="33"/>
      <c r="AR60" s="33"/>
      <c r="AS60" s="33"/>
      <c r="AT60" s="33"/>
      <c r="AU60" s="33"/>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c r="CT60" s="69"/>
      <c r="CU60" s="69"/>
      <c r="CV60" s="69"/>
      <c r="CW60" s="69"/>
    </row>
    <row r="61" spans="1:101" ht="19.5" x14ac:dyDescent="0.35">
      <c r="A61" s="69"/>
      <c r="B61" s="69"/>
      <c r="C61" s="69"/>
      <c r="D61" s="69"/>
      <c r="E61" s="69"/>
      <c r="F61" s="69"/>
      <c r="G61" s="69"/>
      <c r="H61" s="96"/>
      <c r="I61" s="38"/>
      <c r="J61" s="38">
        <v>1</v>
      </c>
      <c r="K61" s="38">
        <v>1</v>
      </c>
      <c r="L61" s="38">
        <v>59</v>
      </c>
      <c r="M61" s="111">
        <v>3.6</v>
      </c>
      <c r="N61" s="38">
        <f t="shared" si="20"/>
        <v>46.975924838520264</v>
      </c>
      <c r="O61" s="38">
        <f t="shared" si="14"/>
        <v>20.675000000000008</v>
      </c>
      <c r="P61" s="38">
        <f t="shared" si="21"/>
        <v>46.24997500000002</v>
      </c>
      <c r="Q61" s="38">
        <f t="shared" si="10"/>
        <v>20.675000000000008</v>
      </c>
      <c r="R61" s="100">
        <f t="shared" si="22"/>
        <v>556.27900000000034</v>
      </c>
      <c r="S61" s="103">
        <v>-7.61</v>
      </c>
      <c r="T61" s="97">
        <f t="shared" si="28"/>
        <v>-2.7379775966851332</v>
      </c>
      <c r="U61" s="100">
        <f>U59+T61</f>
        <v>21.490776358465897</v>
      </c>
      <c r="V61" s="93">
        <f t="shared" si="24"/>
        <v>-7.6099999999999985</v>
      </c>
      <c r="W61" s="38">
        <f t="shared" si="29"/>
        <v>2610</v>
      </c>
      <c r="X61" s="38">
        <f t="shared" si="25"/>
        <v>148.99307773875012</v>
      </c>
      <c r="Y61" s="38">
        <f t="shared" si="32"/>
        <v>568.98</v>
      </c>
      <c r="Z61" s="38">
        <f t="shared" si="26"/>
        <v>-941.87091472908469</v>
      </c>
      <c r="AA61" s="38">
        <f t="shared" si="27"/>
        <v>2386.1021630096657</v>
      </c>
      <c r="AB61" s="38">
        <f t="shared" si="31"/>
        <v>49332.662220224855</v>
      </c>
      <c r="AC61" s="38">
        <f t="shared" si="30"/>
        <v>97867.337779775145</v>
      </c>
      <c r="AD61" s="127"/>
      <c r="AE61" s="127"/>
      <c r="AF61" s="69"/>
      <c r="AG61" s="69"/>
      <c r="AH61" s="69"/>
      <c r="AI61" s="69"/>
      <c r="AJ61" s="69"/>
      <c r="AK61" s="33"/>
      <c r="AL61" s="33"/>
      <c r="AM61" s="33"/>
      <c r="AN61" s="33"/>
      <c r="AO61" s="33"/>
      <c r="AP61" s="33"/>
      <c r="AQ61" s="33"/>
      <c r="AR61" s="33"/>
      <c r="AS61" s="33"/>
      <c r="AT61" s="33"/>
      <c r="AU61" s="33"/>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c r="CT61" s="69"/>
      <c r="CU61" s="69"/>
      <c r="CV61" s="69"/>
      <c r="CW61" s="69"/>
    </row>
    <row r="62" spans="1:101" ht="19.5" x14ac:dyDescent="0.35">
      <c r="A62" s="69"/>
      <c r="B62" s="69"/>
      <c r="C62" s="69"/>
      <c r="D62" s="69"/>
      <c r="E62" s="69"/>
      <c r="F62" s="69"/>
      <c r="G62" s="69"/>
      <c r="H62" s="38"/>
      <c r="I62" s="38"/>
      <c r="J62" s="38">
        <v>1</v>
      </c>
      <c r="K62" s="38">
        <v>1</v>
      </c>
      <c r="L62" s="114">
        <v>60</v>
      </c>
      <c r="M62" s="103">
        <v>0</v>
      </c>
      <c r="N62" s="38">
        <f t="shared" si="20"/>
        <v>0</v>
      </c>
      <c r="O62" s="38">
        <f t="shared" si="14"/>
        <v>20.675000000000008</v>
      </c>
      <c r="P62" s="38">
        <f t="shared" si="21"/>
        <v>46.24997500000002</v>
      </c>
      <c r="Q62" s="38">
        <f t="shared" si="10"/>
        <v>20.675000000000008</v>
      </c>
      <c r="R62" s="100">
        <f t="shared" si="22"/>
        <v>576.95400000000029</v>
      </c>
      <c r="S62" s="103">
        <v>-8.0500000000000007</v>
      </c>
      <c r="T62" s="97">
        <f t="shared" si="28"/>
        <v>-2.8952695187662814</v>
      </c>
      <c r="U62" s="100">
        <f t="shared" ref="U62:U72" si="33">U61+T62</f>
        <v>18.595506839699617</v>
      </c>
      <c r="V62" s="93">
        <f t="shared" si="24"/>
        <v>-8.0500000000000007</v>
      </c>
      <c r="W62" s="38">
        <f t="shared" si="29"/>
        <v>0</v>
      </c>
      <c r="X62" s="38">
        <f t="shared" si="25"/>
        <v>148.99307773875012</v>
      </c>
      <c r="Y62" s="38">
        <v>0</v>
      </c>
      <c r="Z62" s="38">
        <f t="shared" si="26"/>
        <v>-995.97971631658891</v>
      </c>
      <c r="AA62" s="38">
        <f t="shared" si="27"/>
        <v>-846.98663857783879</v>
      </c>
      <c r="AB62" s="38">
        <f t="shared" si="31"/>
        <v>-17511.448752596825</v>
      </c>
      <c r="AC62" s="38">
        <f t="shared" si="30"/>
        <v>164711.44875259683</v>
      </c>
      <c r="AD62" s="127"/>
      <c r="AE62" s="127"/>
      <c r="AF62" s="69"/>
      <c r="AG62" s="69"/>
      <c r="AH62" s="69"/>
      <c r="AI62" s="69"/>
      <c r="AJ62" s="69"/>
      <c r="AK62" s="33"/>
      <c r="AL62" s="33"/>
      <c r="AM62" s="33"/>
      <c r="AN62" s="33"/>
      <c r="AO62" s="33"/>
      <c r="AP62" s="33"/>
      <c r="AQ62" s="33"/>
      <c r="AR62" s="33"/>
      <c r="AS62" s="33"/>
      <c r="AT62" s="33"/>
      <c r="AU62" s="33"/>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c r="CT62" s="69"/>
      <c r="CU62" s="69"/>
      <c r="CV62" s="69"/>
      <c r="CW62" s="69"/>
    </row>
    <row r="63" spans="1:101" ht="19.5" x14ac:dyDescent="0.35">
      <c r="A63" s="69"/>
      <c r="B63" s="69"/>
      <c r="C63" s="69"/>
      <c r="D63" s="69"/>
      <c r="E63" s="69"/>
      <c r="F63" s="69"/>
      <c r="G63" s="69"/>
      <c r="H63" s="96"/>
      <c r="I63" s="38"/>
      <c r="J63" s="38">
        <v>1</v>
      </c>
      <c r="K63" s="38">
        <v>1</v>
      </c>
      <c r="L63" s="38">
        <v>61</v>
      </c>
      <c r="M63" s="111">
        <v>0</v>
      </c>
      <c r="N63" s="38">
        <f>(M63/9.81)*100</f>
        <v>0</v>
      </c>
      <c r="O63" s="38">
        <f t="shared" si="14"/>
        <v>20.675000000000008</v>
      </c>
      <c r="P63" s="38">
        <f t="shared" si="21"/>
        <v>46.24997500000002</v>
      </c>
      <c r="Q63" s="38">
        <f t="shared" si="10"/>
        <v>20.675000000000008</v>
      </c>
      <c r="R63" s="100">
        <f t="shared" si="22"/>
        <v>597.62900000000025</v>
      </c>
      <c r="S63" s="103">
        <v>-8.0500000000000007</v>
      </c>
      <c r="T63" s="97">
        <f t="shared" si="28"/>
        <v>-2.8952695187662814</v>
      </c>
      <c r="U63" s="100">
        <f t="shared" si="33"/>
        <v>15.700237320933336</v>
      </c>
      <c r="V63" s="93">
        <f t="shared" si="24"/>
        <v>-8.0500000000000007</v>
      </c>
      <c r="W63" s="38">
        <f t="shared" si="29"/>
        <v>0</v>
      </c>
      <c r="X63" s="38">
        <f t="shared" si="25"/>
        <v>148.99307773875012</v>
      </c>
      <c r="Y63" s="38">
        <f>$E$6*$B$5*$B$4</f>
        <v>568.98</v>
      </c>
      <c r="Z63" s="38">
        <f t="shared" si="26"/>
        <v>-995.97971631658891</v>
      </c>
      <c r="AA63" s="38">
        <f t="shared" si="27"/>
        <v>-278.00663857783877</v>
      </c>
      <c r="AB63" s="38">
        <f t="shared" si="31"/>
        <v>-5747.7872525968187</v>
      </c>
      <c r="AC63" s="38">
        <f t="shared" si="30"/>
        <v>152947.78725259681</v>
      </c>
      <c r="AD63" s="127"/>
      <c r="AE63" s="127"/>
      <c r="AF63" s="69"/>
      <c r="AG63" s="69"/>
      <c r="AH63" s="69"/>
      <c r="AI63" s="69"/>
      <c r="AJ63" s="69"/>
      <c r="AK63" s="33"/>
      <c r="AL63" s="33"/>
      <c r="AM63" s="33"/>
      <c r="AN63" s="33"/>
      <c r="AO63" s="33"/>
      <c r="AP63" s="33"/>
      <c r="AQ63" s="33"/>
      <c r="AR63" s="33"/>
      <c r="AS63" s="33"/>
      <c r="AT63" s="33"/>
      <c r="AU63" s="33"/>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c r="CT63" s="69"/>
      <c r="CU63" s="69"/>
      <c r="CV63" s="69"/>
      <c r="CW63" s="69"/>
    </row>
    <row r="64" spans="1:101" ht="19.5" x14ac:dyDescent="0.35">
      <c r="A64" s="69"/>
      <c r="B64" s="69"/>
      <c r="C64" s="69"/>
      <c r="D64" s="69"/>
      <c r="E64" s="69"/>
      <c r="F64" s="69"/>
      <c r="G64" s="69"/>
      <c r="H64" s="38"/>
      <c r="I64" s="38"/>
      <c r="J64" s="38">
        <v>1</v>
      </c>
      <c r="K64" s="38">
        <v>1</v>
      </c>
      <c r="L64" s="38">
        <v>62</v>
      </c>
      <c r="M64" s="103">
        <v>-3.5</v>
      </c>
      <c r="N64" s="38">
        <f t="shared" ref="N64:N69" si="34">(M64/7.6635)*100</f>
        <v>-45.671038037450252</v>
      </c>
      <c r="O64" s="38">
        <f t="shared" si="14"/>
        <v>17.175000000000008</v>
      </c>
      <c r="P64" s="38">
        <f t="shared" si="21"/>
        <v>38.420475000000017</v>
      </c>
      <c r="Q64" s="38">
        <f t="shared" si="10"/>
        <v>17.175000000000008</v>
      </c>
      <c r="R64" s="93">
        <f t="shared" si="22"/>
        <v>614.8040000000002</v>
      </c>
      <c r="S64" s="103">
        <v>-8.0500000000000007</v>
      </c>
      <c r="T64" s="97">
        <f t="shared" si="28"/>
        <v>-2.4051392495676365</v>
      </c>
      <c r="U64" s="93">
        <f t="shared" si="33"/>
        <v>13.2950980713657</v>
      </c>
      <c r="V64" s="93">
        <f t="shared" si="24"/>
        <v>-8.0500000000000007</v>
      </c>
      <c r="W64" s="38">
        <f t="shared" si="29"/>
        <v>-2537.5</v>
      </c>
      <c r="X64" s="38">
        <f t="shared" si="25"/>
        <v>102.81785668875008</v>
      </c>
      <c r="Y64" s="38">
        <f t="shared" ref="Y64:Y72" si="35">$E$6*$B$5*$B$4</f>
        <v>568.98</v>
      </c>
      <c r="Z64" s="38">
        <f t="shared" si="26"/>
        <v>-995.97971631658891</v>
      </c>
      <c r="AA64" s="38">
        <f t="shared" si="27"/>
        <v>-2861.681859627839</v>
      </c>
      <c r="AB64" s="38">
        <f t="shared" si="31"/>
        <v>-49149.385939108157</v>
      </c>
      <c r="AC64" s="38">
        <f t="shared" si="30"/>
        <v>196349.38593910815</v>
      </c>
      <c r="AD64" s="127"/>
      <c r="AE64" s="127"/>
      <c r="AF64" s="69"/>
      <c r="AG64" s="69"/>
      <c r="AH64" s="69"/>
      <c r="AI64" s="69"/>
      <c r="AJ64" s="69"/>
      <c r="AK64" s="33"/>
      <c r="AL64" s="33"/>
      <c r="AM64" s="33"/>
      <c r="AN64" s="33"/>
      <c r="AO64" s="33"/>
      <c r="AP64" s="33"/>
      <c r="AQ64" s="33"/>
      <c r="AR64" s="33"/>
      <c r="AS64" s="33"/>
      <c r="AT64" s="33"/>
      <c r="AU64" s="33"/>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c r="CT64" s="69"/>
      <c r="CU64" s="69"/>
      <c r="CV64" s="69"/>
      <c r="CW64" s="69"/>
    </row>
    <row r="65" spans="1:101" ht="19.5" x14ac:dyDescent="0.35">
      <c r="A65" s="69"/>
      <c r="B65" s="69"/>
      <c r="C65" s="69"/>
      <c r="D65" s="69"/>
      <c r="E65" s="69"/>
      <c r="F65" s="69"/>
      <c r="G65" s="69"/>
      <c r="H65" s="38"/>
      <c r="I65" s="38"/>
      <c r="J65" s="38">
        <v>1</v>
      </c>
      <c r="K65" s="38">
        <v>1</v>
      </c>
      <c r="L65" s="38">
        <v>63</v>
      </c>
      <c r="M65" s="103">
        <v>-3.5</v>
      </c>
      <c r="N65" s="38">
        <f t="shared" si="34"/>
        <v>-45.671038037450252</v>
      </c>
      <c r="O65" s="38">
        <f t="shared" si="14"/>
        <v>13.675000000000008</v>
      </c>
      <c r="P65" s="38">
        <f t="shared" si="21"/>
        <v>30.590975000000018</v>
      </c>
      <c r="Q65" s="38">
        <f t="shared" si="10"/>
        <v>13.675000000000008</v>
      </c>
      <c r="R65" s="100">
        <f t="shared" si="22"/>
        <v>628.47900000000016</v>
      </c>
      <c r="S65" s="103">
        <v>-7.07</v>
      </c>
      <c r="T65" s="97">
        <f t="shared" si="28"/>
        <v>-1.6831446547587561</v>
      </c>
      <c r="U65" s="100">
        <f t="shared" si="33"/>
        <v>11.611953416606944</v>
      </c>
      <c r="V65" s="93">
        <f t="shared" si="24"/>
        <v>-7.07</v>
      </c>
      <c r="W65" s="38">
        <f t="shared" si="29"/>
        <v>-2537.5</v>
      </c>
      <c r="X65" s="38">
        <f t="shared" si="25"/>
        <v>65.182306638750063</v>
      </c>
      <c r="Y65" s="38">
        <f t="shared" si="35"/>
        <v>568.98</v>
      </c>
      <c r="Z65" s="38">
        <f t="shared" si="26"/>
        <v>-875.38907281959462</v>
      </c>
      <c r="AA65" s="38">
        <f t="shared" si="27"/>
        <v>-2778.7267661808446</v>
      </c>
      <c r="AB65" s="38">
        <f t="shared" si="31"/>
        <v>-37999.088527523068</v>
      </c>
      <c r="AC65" s="38">
        <f t="shared" si="30"/>
        <v>185199.08852752307</v>
      </c>
      <c r="AD65" s="127"/>
      <c r="AE65" s="127"/>
      <c r="AF65" s="69"/>
      <c r="AG65" s="69"/>
      <c r="AH65" s="69"/>
      <c r="AI65" s="69"/>
      <c r="AJ65" s="69"/>
      <c r="AK65" s="33"/>
      <c r="AL65" s="33"/>
      <c r="AM65" s="33"/>
      <c r="AN65" s="33"/>
      <c r="AO65" s="33"/>
      <c r="AP65" s="33"/>
      <c r="AQ65" s="33"/>
      <c r="AR65" s="33"/>
      <c r="AS65" s="33"/>
      <c r="AT65" s="33"/>
      <c r="AU65" s="33"/>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c r="CB65" s="69"/>
      <c r="CC65" s="69"/>
      <c r="CD65" s="69"/>
      <c r="CE65" s="69"/>
      <c r="CF65" s="69"/>
      <c r="CG65" s="69"/>
      <c r="CH65" s="69"/>
      <c r="CI65" s="69"/>
      <c r="CJ65" s="69"/>
      <c r="CK65" s="69"/>
      <c r="CL65" s="69"/>
      <c r="CM65" s="69"/>
      <c r="CN65" s="69"/>
      <c r="CO65" s="69"/>
      <c r="CP65" s="69"/>
      <c r="CQ65" s="69"/>
      <c r="CR65" s="69"/>
      <c r="CS65" s="69"/>
      <c r="CT65" s="69"/>
      <c r="CU65" s="69"/>
      <c r="CV65" s="69"/>
      <c r="CW65" s="69"/>
    </row>
    <row r="66" spans="1:101" ht="19.5" x14ac:dyDescent="0.35">
      <c r="A66" s="69"/>
      <c r="B66" s="69"/>
      <c r="C66" s="69"/>
      <c r="D66" s="69"/>
      <c r="E66" s="69"/>
      <c r="F66" s="69"/>
      <c r="G66" s="69"/>
      <c r="H66" s="38"/>
      <c r="I66" s="38"/>
      <c r="J66" s="38">
        <v>1</v>
      </c>
      <c r="K66" s="38">
        <v>1</v>
      </c>
      <c r="L66" s="38">
        <v>64</v>
      </c>
      <c r="M66" s="103">
        <v>-3.3</v>
      </c>
      <c r="N66" s="38">
        <f t="shared" si="34"/>
        <v>-43.061264435310235</v>
      </c>
      <c r="O66" s="38">
        <f t="shared" si="14"/>
        <v>10.375000000000007</v>
      </c>
      <c r="P66" s="38">
        <f t="shared" si="21"/>
        <v>23.208875000000017</v>
      </c>
      <c r="Q66" s="38">
        <f t="shared" si="10"/>
        <v>10.375000000000007</v>
      </c>
      <c r="R66" s="93">
        <f t="shared" si="22"/>
        <v>638.85400000000016</v>
      </c>
      <c r="S66" s="103">
        <v>-7.07</v>
      </c>
      <c r="T66" s="97">
        <f t="shared" si="28"/>
        <v>-1.2769744638480509</v>
      </c>
      <c r="U66" s="93">
        <f t="shared" si="33"/>
        <v>10.334978952758894</v>
      </c>
      <c r="V66" s="93">
        <f t="shared" si="24"/>
        <v>-7.07</v>
      </c>
      <c r="W66" s="38">
        <f t="shared" si="29"/>
        <v>-2392.5</v>
      </c>
      <c r="X66" s="38">
        <f t="shared" si="25"/>
        <v>37.519000968750049</v>
      </c>
      <c r="Y66" s="38">
        <f t="shared" si="35"/>
        <v>568.98</v>
      </c>
      <c r="Z66" s="38">
        <f t="shared" si="26"/>
        <v>-875.38907281959462</v>
      </c>
      <c r="AA66" s="38">
        <f t="shared" si="27"/>
        <v>-2661.3900718508444</v>
      </c>
      <c r="AB66" s="38">
        <f t="shared" si="31"/>
        <v>-27611.921995452529</v>
      </c>
      <c r="AC66" s="38">
        <f t="shared" si="30"/>
        <v>174811.92199545252</v>
      </c>
      <c r="AD66" s="127"/>
      <c r="AE66" s="127"/>
      <c r="AF66" s="69"/>
      <c r="AG66" s="69"/>
      <c r="AH66" s="69"/>
      <c r="AI66" s="69"/>
      <c r="AJ66" s="69"/>
      <c r="AK66" s="33"/>
      <c r="AL66" s="33"/>
      <c r="AM66" s="33"/>
      <c r="AN66" s="33"/>
      <c r="AO66" s="33"/>
      <c r="AP66" s="33"/>
      <c r="AQ66" s="33"/>
      <c r="AR66" s="33"/>
      <c r="AS66" s="33"/>
      <c r="AT66" s="33"/>
      <c r="AU66" s="33"/>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c r="CB66" s="69"/>
      <c r="CC66" s="69"/>
      <c r="CD66" s="69"/>
      <c r="CE66" s="69"/>
      <c r="CF66" s="69"/>
      <c r="CG66" s="69"/>
      <c r="CH66" s="69"/>
      <c r="CI66" s="69"/>
      <c r="CJ66" s="69"/>
      <c r="CK66" s="69"/>
      <c r="CL66" s="69"/>
      <c r="CM66" s="69"/>
      <c r="CN66" s="69"/>
      <c r="CO66" s="69"/>
      <c r="CP66" s="69"/>
      <c r="CQ66" s="69"/>
      <c r="CR66" s="69"/>
      <c r="CS66" s="69"/>
      <c r="CT66" s="69"/>
      <c r="CU66" s="69"/>
      <c r="CV66" s="69"/>
      <c r="CW66" s="69"/>
    </row>
    <row r="67" spans="1:101" ht="19.5" x14ac:dyDescent="0.35">
      <c r="A67" s="69"/>
      <c r="B67" s="69"/>
      <c r="C67" s="69"/>
      <c r="D67" s="69"/>
      <c r="E67" s="69"/>
      <c r="F67" s="69"/>
      <c r="G67" s="69"/>
      <c r="H67" s="38"/>
      <c r="I67" s="38"/>
      <c r="J67" s="38">
        <v>1</v>
      </c>
      <c r="K67" s="38">
        <v>1</v>
      </c>
      <c r="L67" s="38">
        <v>65</v>
      </c>
      <c r="M67" s="103">
        <v>1</v>
      </c>
      <c r="N67" s="38">
        <f t="shared" si="34"/>
        <v>13.048868010700071</v>
      </c>
      <c r="O67" s="38">
        <f t="shared" si="14"/>
        <v>11.375000000000007</v>
      </c>
      <c r="P67" s="38">
        <f t="shared" si="21"/>
        <v>25.445875000000019</v>
      </c>
      <c r="Q67" s="38">
        <f t="shared" si="10"/>
        <v>11.375000000000007</v>
      </c>
      <c r="R67" s="100">
        <f t="shared" si="22"/>
        <v>650.22900000000016</v>
      </c>
      <c r="S67" s="103">
        <v>-3.07</v>
      </c>
      <c r="T67" s="97">
        <f t="shared" si="28"/>
        <v>-0.6091991930761721</v>
      </c>
      <c r="U67" s="100">
        <f t="shared" si="33"/>
        <v>9.7257797596827213</v>
      </c>
      <c r="V67" s="93">
        <f t="shared" si="24"/>
        <v>-3.07</v>
      </c>
      <c r="W67" s="38">
        <f t="shared" si="29"/>
        <v>725</v>
      </c>
      <c r="X67" s="38">
        <f t="shared" si="25"/>
        <v>45.100137468750056</v>
      </c>
      <c r="Y67" s="38">
        <f t="shared" si="35"/>
        <v>568.98</v>
      </c>
      <c r="Z67" s="38">
        <f t="shared" si="26"/>
        <v>-380.90346909503313</v>
      </c>
      <c r="AA67" s="38">
        <f t="shared" si="27"/>
        <v>958.17666837371689</v>
      </c>
      <c r="AB67" s="38">
        <f t="shared" si="31"/>
        <v>10899.259602751037</v>
      </c>
      <c r="AC67" s="38">
        <f t="shared" si="30"/>
        <v>136300.74039724897</v>
      </c>
      <c r="AD67" s="127"/>
      <c r="AE67" s="127"/>
      <c r="AF67" s="69"/>
      <c r="AG67" s="69"/>
      <c r="AH67" s="69"/>
      <c r="AI67" s="69"/>
      <c r="AJ67" s="69"/>
      <c r="AK67" s="33"/>
      <c r="AL67" s="33"/>
      <c r="AM67" s="33"/>
      <c r="AN67" s="33"/>
      <c r="AO67" s="33"/>
      <c r="AP67" s="33"/>
      <c r="AQ67" s="33"/>
      <c r="AR67" s="33"/>
      <c r="AS67" s="33"/>
      <c r="AT67" s="33"/>
      <c r="AU67" s="33"/>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c r="CB67" s="69"/>
      <c r="CC67" s="69"/>
      <c r="CD67" s="69"/>
      <c r="CE67" s="69"/>
      <c r="CF67" s="69"/>
      <c r="CG67" s="69"/>
      <c r="CH67" s="69"/>
      <c r="CI67" s="69"/>
      <c r="CJ67" s="69"/>
      <c r="CK67" s="69"/>
      <c r="CL67" s="69"/>
      <c r="CM67" s="69"/>
      <c r="CN67" s="69"/>
      <c r="CO67" s="69"/>
      <c r="CP67" s="69"/>
      <c r="CQ67" s="69"/>
      <c r="CR67" s="69"/>
      <c r="CS67" s="69"/>
      <c r="CT67" s="69"/>
      <c r="CU67" s="69"/>
      <c r="CV67" s="69"/>
      <c r="CW67" s="69"/>
    </row>
    <row r="68" spans="1:101" ht="19.5" x14ac:dyDescent="0.35">
      <c r="A68" s="69"/>
      <c r="B68" s="69"/>
      <c r="C68" s="69"/>
      <c r="D68" s="69"/>
      <c r="E68" s="69"/>
      <c r="F68" s="69"/>
      <c r="G68" s="69"/>
      <c r="H68" s="38"/>
      <c r="I68" s="38"/>
      <c r="J68" s="38">
        <v>1</v>
      </c>
      <c r="K68" s="38">
        <v>1</v>
      </c>
      <c r="L68" s="38">
        <v>66</v>
      </c>
      <c r="M68" s="103">
        <v>1</v>
      </c>
      <c r="N68" s="38">
        <f t="shared" si="34"/>
        <v>13.048868010700071</v>
      </c>
      <c r="O68" s="38">
        <f t="shared" si="14"/>
        <v>12.375000000000007</v>
      </c>
      <c r="P68" s="38">
        <f t="shared" si="21"/>
        <v>27.682875000000017</v>
      </c>
      <c r="Q68" s="38">
        <f t="shared" ref="Q68:Q72" si="36">K68*O68</f>
        <v>12.375000000000007</v>
      </c>
      <c r="R68" s="93">
        <f t="shared" si="22"/>
        <v>662.60400000000016</v>
      </c>
      <c r="S68" s="103">
        <v>-3.07</v>
      </c>
      <c r="T68" s="97">
        <f t="shared" si="28"/>
        <v>-0.66275516609385743</v>
      </c>
      <c r="U68" s="93">
        <f t="shared" si="33"/>
        <v>9.0630245935888638</v>
      </c>
      <c r="V68" s="93">
        <f t="shared" si="24"/>
        <v>-3.0699999999999994</v>
      </c>
      <c r="W68" s="38">
        <f t="shared" si="29"/>
        <v>725</v>
      </c>
      <c r="X68" s="38">
        <f t="shared" si="25"/>
        <v>53.378389968750056</v>
      </c>
      <c r="Y68" s="38">
        <f t="shared" si="35"/>
        <v>568.98</v>
      </c>
      <c r="Z68" s="38">
        <f t="shared" si="26"/>
        <v>-380.90346909503307</v>
      </c>
      <c r="AA68" s="38">
        <f t="shared" si="27"/>
        <v>966.45492087371701</v>
      </c>
      <c r="AB68" s="38">
        <f t="shared" ref="AB68:AB72" si="37">AA68*O68</f>
        <v>11959.879645812254</v>
      </c>
      <c r="AC68" s="38">
        <f t="shared" si="30"/>
        <v>135240.12035418773</v>
      </c>
      <c r="AD68" s="127"/>
      <c r="AE68" s="127"/>
      <c r="AF68" s="69"/>
      <c r="AG68" s="69"/>
      <c r="AH68" s="69"/>
      <c r="AI68" s="69"/>
      <c r="AJ68" s="69"/>
      <c r="AK68" s="33"/>
      <c r="AL68" s="33"/>
      <c r="AM68" s="33"/>
      <c r="AN68" s="33"/>
      <c r="AO68" s="33"/>
      <c r="AP68" s="33"/>
      <c r="AQ68" s="33"/>
      <c r="AR68" s="33"/>
      <c r="AS68" s="33"/>
      <c r="AT68" s="33"/>
      <c r="AU68" s="33"/>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c r="CB68" s="69"/>
      <c r="CC68" s="69"/>
      <c r="CD68" s="69"/>
      <c r="CE68" s="69"/>
      <c r="CF68" s="69"/>
      <c r="CG68" s="69"/>
      <c r="CH68" s="69"/>
      <c r="CI68" s="69"/>
      <c r="CJ68" s="69"/>
      <c r="CK68" s="69"/>
      <c r="CL68" s="69"/>
      <c r="CM68" s="69"/>
      <c r="CN68" s="69"/>
      <c r="CO68" s="69"/>
      <c r="CP68" s="69"/>
      <c r="CQ68" s="69"/>
      <c r="CR68" s="69"/>
      <c r="CS68" s="69"/>
      <c r="CT68" s="69"/>
      <c r="CU68" s="69"/>
      <c r="CV68" s="69"/>
      <c r="CW68" s="69"/>
    </row>
    <row r="69" spans="1:101" ht="19.5" x14ac:dyDescent="0.35">
      <c r="A69" s="69"/>
      <c r="B69" s="69"/>
      <c r="C69" s="69"/>
      <c r="D69" s="69"/>
      <c r="E69" s="69"/>
      <c r="F69" s="69"/>
      <c r="G69" s="69"/>
      <c r="H69" s="38"/>
      <c r="I69" s="38"/>
      <c r="J69" s="38">
        <v>1</v>
      </c>
      <c r="K69" s="38">
        <v>1</v>
      </c>
      <c r="L69" s="38">
        <v>67</v>
      </c>
      <c r="M69" s="103">
        <v>1</v>
      </c>
      <c r="N69" s="38">
        <f t="shared" si="34"/>
        <v>13.048868010700071</v>
      </c>
      <c r="O69" s="38">
        <f t="shared" ref="O69:O72" si="38">(K69*M69)+O68</f>
        <v>13.375000000000007</v>
      </c>
      <c r="P69" s="38">
        <f t="shared" ref="P69:P72" si="39">O69*2.237</f>
        <v>29.919875000000019</v>
      </c>
      <c r="Q69" s="38">
        <f t="shared" si="36"/>
        <v>13.375000000000007</v>
      </c>
      <c r="R69" s="93">
        <f t="shared" si="22"/>
        <v>675.97900000000016</v>
      </c>
      <c r="S69" s="103">
        <v>-3.07</v>
      </c>
      <c r="T69" s="97">
        <f t="shared" si="28"/>
        <v>-0.71631113911154287</v>
      </c>
      <c r="U69" s="93">
        <f t="shared" si="33"/>
        <v>8.3467134544773209</v>
      </c>
      <c r="V69" s="93">
        <f t="shared" si="24"/>
        <v>-3.07</v>
      </c>
      <c r="W69" s="38">
        <f t="shared" ref="W69:W72" si="40">$E$6*M69</f>
        <v>725</v>
      </c>
      <c r="X69" s="38">
        <f t="shared" ref="X69:X72" si="41">0.5*$B$3*$E$14*$E$13*O69^2</f>
        <v>62.353758468750065</v>
      </c>
      <c r="Y69" s="38">
        <f t="shared" si="35"/>
        <v>568.98</v>
      </c>
      <c r="Z69" s="38">
        <f t="shared" ref="Z69:Z72" si="42">$E$6*$B$5*SIN(RADIANS(V69))</f>
        <v>-380.90346909503313</v>
      </c>
      <c r="AA69" s="38">
        <f t="shared" ref="AA69:AA72" si="43">X69+Y69+Z69+W69</f>
        <v>975.43028937371696</v>
      </c>
      <c r="AB69" s="38">
        <f t="shared" si="37"/>
        <v>13046.380120373471</v>
      </c>
      <c r="AC69" s="38">
        <f t="shared" si="30"/>
        <v>134153.61987962652</v>
      </c>
      <c r="AD69" s="127"/>
      <c r="AE69" s="127"/>
      <c r="AF69" s="69"/>
      <c r="AG69" s="69"/>
      <c r="AH69" s="69"/>
      <c r="AI69" s="69"/>
      <c r="AJ69" s="69"/>
      <c r="AK69" s="33"/>
      <c r="AL69" s="33"/>
      <c r="AM69" s="33"/>
      <c r="AN69" s="33"/>
      <c r="AO69" s="33"/>
      <c r="AP69" s="33"/>
      <c r="AQ69" s="33"/>
      <c r="AR69" s="33"/>
      <c r="AS69" s="33"/>
      <c r="AT69" s="33"/>
      <c r="AU69" s="33"/>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c r="CB69" s="69"/>
      <c r="CC69" s="69"/>
      <c r="CD69" s="69"/>
      <c r="CE69" s="69"/>
      <c r="CF69" s="69"/>
      <c r="CG69" s="69"/>
      <c r="CH69" s="69"/>
      <c r="CI69" s="69"/>
      <c r="CJ69" s="69"/>
      <c r="CK69" s="69"/>
      <c r="CL69" s="69"/>
      <c r="CM69" s="69"/>
      <c r="CN69" s="69"/>
      <c r="CO69" s="69"/>
      <c r="CP69" s="69"/>
      <c r="CQ69" s="69"/>
      <c r="CR69" s="69"/>
      <c r="CS69" s="69"/>
      <c r="CT69" s="69"/>
      <c r="CU69" s="69"/>
      <c r="CV69" s="69"/>
      <c r="CW69" s="69"/>
    </row>
    <row r="70" spans="1:101" ht="19.5" x14ac:dyDescent="0.35">
      <c r="A70" s="69"/>
      <c r="B70" s="69"/>
      <c r="C70" s="69"/>
      <c r="D70" s="69"/>
      <c r="E70" s="69"/>
      <c r="F70" s="69"/>
      <c r="G70" s="69"/>
      <c r="H70" s="38" t="s">
        <v>51</v>
      </c>
      <c r="I70" s="38"/>
      <c r="J70" s="38">
        <v>1</v>
      </c>
      <c r="K70" s="38">
        <v>1</v>
      </c>
      <c r="L70" s="38">
        <v>68</v>
      </c>
      <c r="M70" s="103">
        <v>1</v>
      </c>
      <c r="N70" s="38">
        <f t="shared" ref="N70:N72" si="44">(M70/7.6635)*100</f>
        <v>13.048868010700071</v>
      </c>
      <c r="O70" s="38">
        <f t="shared" si="38"/>
        <v>14.375000000000007</v>
      </c>
      <c r="P70" s="38">
        <f t="shared" si="39"/>
        <v>32.156875000000021</v>
      </c>
      <c r="Q70" s="38">
        <f t="shared" si="36"/>
        <v>14.375000000000007</v>
      </c>
      <c r="R70" s="93">
        <f t="shared" si="22"/>
        <v>690.35400000000016</v>
      </c>
      <c r="S70" s="103">
        <v>-3.07</v>
      </c>
      <c r="T70" s="97">
        <f t="shared" ref="T70:T72" si="45">Q70*(SIN(RADIANS(S70)))</f>
        <v>-0.76986711212922831</v>
      </c>
      <c r="U70" s="93">
        <f t="shared" si="33"/>
        <v>7.5768463423480927</v>
      </c>
      <c r="V70" s="93">
        <f t="shared" si="24"/>
        <v>-3.07</v>
      </c>
      <c r="W70" s="38">
        <f t="shared" si="40"/>
        <v>725</v>
      </c>
      <c r="X70" s="38">
        <f t="shared" si="41"/>
        <v>72.026242968750068</v>
      </c>
      <c r="Y70" s="38">
        <f t="shared" si="35"/>
        <v>568.98</v>
      </c>
      <c r="Z70" s="38">
        <f t="shared" si="42"/>
        <v>-380.90346909503313</v>
      </c>
      <c r="AA70" s="38">
        <f t="shared" si="43"/>
        <v>985.10277387371684</v>
      </c>
      <c r="AB70" s="38">
        <f t="shared" si="37"/>
        <v>14160.852374434686</v>
      </c>
      <c r="AC70" s="38">
        <f t="shared" ref="AC70:AC72" si="46">147200-AB70</f>
        <v>133039.14762556533</v>
      </c>
      <c r="AD70" s="127"/>
      <c r="AE70" s="127"/>
      <c r="AF70" s="69"/>
      <c r="AG70" s="69"/>
      <c r="AH70" s="69"/>
      <c r="AI70" s="69"/>
      <c r="AJ70" s="69"/>
      <c r="AK70" s="33"/>
      <c r="AL70" s="33"/>
      <c r="AM70" s="33"/>
      <c r="AN70" s="33"/>
      <c r="AO70" s="33"/>
      <c r="AP70" s="33"/>
      <c r="AQ70" s="33"/>
      <c r="AR70" s="33"/>
      <c r="AS70" s="33"/>
      <c r="AT70" s="33"/>
      <c r="AU70" s="33"/>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c r="CB70" s="69"/>
      <c r="CC70" s="69"/>
      <c r="CD70" s="69"/>
      <c r="CE70" s="69"/>
      <c r="CF70" s="69"/>
      <c r="CG70" s="69"/>
      <c r="CH70" s="69"/>
      <c r="CI70" s="69"/>
      <c r="CJ70" s="69"/>
      <c r="CK70" s="69"/>
      <c r="CL70" s="69"/>
      <c r="CM70" s="69"/>
      <c r="CN70" s="69"/>
      <c r="CO70" s="69"/>
      <c r="CP70" s="69"/>
      <c r="CQ70" s="69"/>
      <c r="CR70" s="69"/>
      <c r="CS70" s="69"/>
      <c r="CT70" s="69"/>
      <c r="CU70" s="69"/>
      <c r="CV70" s="69"/>
      <c r="CW70" s="69"/>
    </row>
    <row r="71" spans="1:101" ht="19.5" x14ac:dyDescent="0.35">
      <c r="A71" s="69"/>
      <c r="B71" s="69"/>
      <c r="C71" s="69"/>
      <c r="D71" s="69"/>
      <c r="E71" s="69"/>
      <c r="F71" s="69"/>
      <c r="G71" s="69"/>
      <c r="H71" s="33"/>
      <c r="I71" s="38"/>
      <c r="J71" s="38">
        <v>1</v>
      </c>
      <c r="K71" s="38">
        <v>1</v>
      </c>
      <c r="L71" s="38">
        <v>69</v>
      </c>
      <c r="M71" s="103">
        <v>1</v>
      </c>
      <c r="N71" s="38">
        <f t="shared" si="44"/>
        <v>13.048868010700071</v>
      </c>
      <c r="O71" s="38">
        <f t="shared" si="38"/>
        <v>15.375000000000007</v>
      </c>
      <c r="P71" s="38">
        <f t="shared" si="39"/>
        <v>34.393875000000016</v>
      </c>
      <c r="Q71" s="38">
        <f t="shared" si="36"/>
        <v>15.375000000000007</v>
      </c>
      <c r="R71" s="93">
        <f t="shared" si="22"/>
        <v>705.72900000000016</v>
      </c>
      <c r="S71" s="103">
        <v>-3.07</v>
      </c>
      <c r="T71" s="97">
        <f t="shared" si="45"/>
        <v>-0.82342308514691376</v>
      </c>
      <c r="U71" s="93">
        <f t="shared" si="33"/>
        <v>6.7534232572011792</v>
      </c>
      <c r="V71" s="93">
        <f t="shared" si="24"/>
        <v>-3.07</v>
      </c>
      <c r="W71" s="38">
        <f t="shared" si="40"/>
        <v>725</v>
      </c>
      <c r="X71" s="38">
        <f t="shared" si="41"/>
        <v>82.395843468750073</v>
      </c>
      <c r="Y71" s="38">
        <f t="shared" si="35"/>
        <v>568.98</v>
      </c>
      <c r="Z71" s="38">
        <f t="shared" si="42"/>
        <v>-380.90346909503313</v>
      </c>
      <c r="AA71" s="38">
        <f t="shared" si="43"/>
        <v>995.472374373717</v>
      </c>
      <c r="AB71" s="38">
        <f t="shared" si="37"/>
        <v>15305.387755995906</v>
      </c>
      <c r="AC71" s="38">
        <f t="shared" si="46"/>
        <v>131894.61224400409</v>
      </c>
      <c r="AD71" s="127"/>
      <c r="AE71" s="127"/>
      <c r="AF71" s="69"/>
      <c r="AG71" s="69"/>
      <c r="AH71" s="69"/>
      <c r="AI71" s="69"/>
      <c r="AJ71" s="69"/>
      <c r="AK71" s="33"/>
      <c r="AL71" s="33"/>
      <c r="AM71" s="33"/>
      <c r="AN71" s="33"/>
      <c r="AO71" s="33"/>
      <c r="AP71" s="33"/>
      <c r="AQ71" s="33"/>
      <c r="AR71" s="33"/>
      <c r="AS71" s="33"/>
      <c r="AT71" s="33"/>
      <c r="AU71" s="33"/>
      <c r="AV71" s="69"/>
      <c r="AW71" s="69"/>
      <c r="AX71" s="69"/>
      <c r="AY71" s="69"/>
      <c r="AZ71" s="69"/>
      <c r="BA71" s="69"/>
      <c r="BB71" s="69"/>
      <c r="BC71" s="69"/>
      <c r="BD71" s="69"/>
      <c r="BE71" s="69"/>
      <c r="BF71" s="69"/>
      <c r="BG71" s="69"/>
      <c r="BH71" s="69"/>
      <c r="BI71" s="69"/>
      <c r="BJ71" s="69"/>
      <c r="BK71" s="110" t="s">
        <v>258</v>
      </c>
      <c r="BL71" s="69"/>
      <c r="BM71" s="69"/>
      <c r="BN71" s="69"/>
      <c r="BO71" s="134"/>
      <c r="BP71" s="69"/>
      <c r="BQ71" s="69"/>
      <c r="BR71" s="69"/>
      <c r="BS71" s="69"/>
      <c r="BT71" s="69"/>
      <c r="BU71" s="69"/>
      <c r="BV71" s="69"/>
      <c r="BW71" s="69"/>
      <c r="BX71" s="69"/>
      <c r="BY71" s="69"/>
      <c r="BZ71" s="69"/>
      <c r="CA71" s="69"/>
      <c r="CB71" s="69"/>
      <c r="CC71" s="69"/>
      <c r="CD71" s="69"/>
      <c r="CE71" s="69"/>
      <c r="CF71" s="69"/>
      <c r="CG71" s="69"/>
      <c r="CH71" s="69"/>
      <c r="CI71" s="69"/>
      <c r="CJ71" s="69"/>
      <c r="CK71" s="69"/>
      <c r="CL71" s="69"/>
      <c r="CM71" s="69"/>
      <c r="CN71" s="69"/>
      <c r="CO71" s="69"/>
      <c r="CP71" s="69"/>
      <c r="CQ71" s="69"/>
      <c r="CR71" s="69"/>
      <c r="CS71" s="69"/>
      <c r="CT71" s="69"/>
      <c r="CU71" s="69"/>
      <c r="CV71" s="69"/>
      <c r="CW71" s="69"/>
    </row>
    <row r="72" spans="1:101" ht="20.25" thickBot="1" x14ac:dyDescent="0.4">
      <c r="A72" s="69"/>
      <c r="B72" s="69"/>
      <c r="C72" s="69"/>
      <c r="D72" s="69"/>
      <c r="E72" s="69"/>
      <c r="F72" s="69"/>
      <c r="G72" s="69"/>
      <c r="H72" s="69"/>
      <c r="I72" s="69"/>
      <c r="J72" s="38">
        <v>1</v>
      </c>
      <c r="K72" s="38">
        <v>1</v>
      </c>
      <c r="L72" s="38">
        <v>70</v>
      </c>
      <c r="M72" s="103">
        <v>1</v>
      </c>
      <c r="N72" s="38">
        <f t="shared" si="44"/>
        <v>13.048868010700071</v>
      </c>
      <c r="O72" s="38">
        <f t="shared" si="38"/>
        <v>16.375000000000007</v>
      </c>
      <c r="P72" s="38">
        <f t="shared" si="39"/>
        <v>36.630875000000017</v>
      </c>
      <c r="Q72" s="38">
        <f t="shared" si="36"/>
        <v>16.375000000000007</v>
      </c>
      <c r="R72" s="100">
        <f t="shared" si="22"/>
        <v>722.10400000000016</v>
      </c>
      <c r="S72" s="103">
        <v>5.7</v>
      </c>
      <c r="T72" s="97">
        <f t="shared" si="45"/>
        <v>1.6263609020520895</v>
      </c>
      <c r="U72" s="100">
        <f t="shared" si="33"/>
        <v>8.3797841592532691</v>
      </c>
      <c r="V72" s="93">
        <f t="shared" si="24"/>
        <v>5.7</v>
      </c>
      <c r="W72" s="38">
        <f t="shared" si="40"/>
        <v>725</v>
      </c>
      <c r="X72" s="38">
        <f t="shared" si="41"/>
        <v>93.462559968750071</v>
      </c>
      <c r="Y72" s="38">
        <f t="shared" si="35"/>
        <v>568.98</v>
      </c>
      <c r="Z72" s="38">
        <f t="shared" si="42"/>
        <v>706.3868901141966</v>
      </c>
      <c r="AA72" s="38">
        <f t="shared" si="43"/>
        <v>2093.8294500829466</v>
      </c>
      <c r="AB72" s="46">
        <f t="shared" si="37"/>
        <v>34286.457245108264</v>
      </c>
      <c r="AC72" s="38">
        <f t="shared" si="46"/>
        <v>112913.54275489174</v>
      </c>
      <c r="AD72" s="127"/>
      <c r="AE72" s="127"/>
      <c r="AF72" s="69"/>
      <c r="AG72" s="69"/>
      <c r="AH72" s="69"/>
      <c r="AI72" s="69"/>
      <c r="AJ72" s="69"/>
      <c r="AK72" s="33"/>
      <c r="AL72" s="33"/>
      <c r="AM72" s="33"/>
      <c r="AN72" s="33"/>
      <c r="AO72" s="33"/>
      <c r="AP72" s="33"/>
      <c r="AQ72" s="33"/>
      <c r="AR72" s="33"/>
      <c r="AS72" s="33"/>
      <c r="AT72" s="33"/>
      <c r="AU72" s="33"/>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Z72" s="69"/>
      <c r="CA72" s="69"/>
      <c r="CB72" s="69"/>
      <c r="CC72" s="69"/>
      <c r="CD72" s="69"/>
      <c r="CE72" s="69"/>
      <c r="CF72" s="69"/>
      <c r="CG72" s="69"/>
      <c r="CH72" s="69"/>
      <c r="CI72" s="69"/>
      <c r="CJ72" s="69"/>
      <c r="CK72" s="69"/>
      <c r="CL72" s="69"/>
      <c r="CM72" s="69"/>
      <c r="CN72" s="69"/>
      <c r="CO72" s="69"/>
      <c r="CP72" s="69"/>
      <c r="CQ72" s="69"/>
      <c r="CR72" s="69"/>
      <c r="CS72" s="69"/>
      <c r="CT72" s="69"/>
      <c r="CU72" s="69"/>
      <c r="CV72" s="69"/>
      <c r="CW72" s="69"/>
    </row>
    <row r="73" spans="1:101" ht="20.25" thickBot="1" x14ac:dyDescent="0.4">
      <c r="A73" s="69"/>
      <c r="B73" s="69"/>
      <c r="C73" s="69"/>
      <c r="D73" s="69"/>
      <c r="E73" s="69"/>
      <c r="F73" s="69"/>
      <c r="G73" s="69"/>
      <c r="H73" s="69"/>
      <c r="I73" s="69"/>
      <c r="J73" s="69"/>
      <c r="K73" s="69"/>
      <c r="L73" s="69"/>
      <c r="M73" s="69"/>
      <c r="N73" s="69"/>
      <c r="O73" s="69"/>
      <c r="P73" s="69"/>
      <c r="Q73" s="69"/>
      <c r="R73" s="96" t="s">
        <v>187</v>
      </c>
      <c r="S73" s="69"/>
      <c r="T73" s="69"/>
      <c r="U73" s="96">
        <v>8</v>
      </c>
      <c r="V73" s="69"/>
      <c r="W73" s="69"/>
      <c r="X73" s="69"/>
      <c r="Y73" s="69"/>
      <c r="Z73" s="69"/>
      <c r="AA73" s="152" t="s">
        <v>286</v>
      </c>
      <c r="AB73" s="150">
        <f>MAX(AB2:AB72)</f>
        <v>139060.97827298066</v>
      </c>
      <c r="AC73" s="34"/>
      <c r="AD73" s="33"/>
      <c r="AE73" s="69"/>
      <c r="AF73" s="69"/>
      <c r="AG73" s="69"/>
      <c r="AH73" s="69"/>
      <c r="AI73" s="69"/>
      <c r="AJ73" s="69"/>
      <c r="AK73" s="33"/>
      <c r="AL73" s="33"/>
      <c r="AM73" s="33"/>
      <c r="AN73" s="33"/>
      <c r="AO73" s="33"/>
      <c r="AP73" s="33"/>
      <c r="AQ73" s="33"/>
      <c r="AR73" s="33"/>
      <c r="AS73" s="33"/>
      <c r="AT73" s="33"/>
      <c r="AU73" s="33"/>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c r="CB73" s="69"/>
      <c r="CC73" s="69"/>
      <c r="CD73" s="69"/>
      <c r="CE73" s="69"/>
      <c r="CF73" s="69"/>
      <c r="CG73" s="69"/>
      <c r="CH73" s="69"/>
      <c r="CI73" s="69"/>
      <c r="CJ73" s="69"/>
      <c r="CK73" s="69"/>
      <c r="CL73" s="69"/>
      <c r="CM73" s="69"/>
      <c r="CN73" s="69"/>
      <c r="CO73" s="69"/>
      <c r="CP73" s="69"/>
      <c r="CQ73" s="69"/>
      <c r="CR73" s="69"/>
      <c r="CS73" s="69"/>
      <c r="CT73" s="69"/>
      <c r="CU73" s="69"/>
      <c r="CV73" s="69"/>
      <c r="CW73" s="69"/>
    </row>
    <row r="74" spans="1:101" ht="20.25" thickBot="1" x14ac:dyDescent="0.4">
      <c r="A74" s="69"/>
      <c r="B74" s="69"/>
      <c r="C74" s="69"/>
      <c r="D74" s="69"/>
      <c r="E74" s="69"/>
      <c r="F74" s="69"/>
      <c r="G74" s="69"/>
      <c r="H74" s="69"/>
      <c r="I74" s="69"/>
      <c r="J74" s="69"/>
      <c r="K74" s="69"/>
      <c r="L74" s="69"/>
      <c r="M74" s="69"/>
      <c r="N74" s="69"/>
      <c r="O74" s="115" t="s">
        <v>212</v>
      </c>
      <c r="P74" s="69"/>
      <c r="Q74" s="69"/>
      <c r="R74" s="69"/>
      <c r="S74" s="69"/>
      <c r="T74" s="69"/>
      <c r="U74" s="69"/>
      <c r="V74" s="69"/>
      <c r="W74" s="69"/>
      <c r="X74" s="69"/>
      <c r="Y74" s="69"/>
      <c r="Z74" s="69"/>
      <c r="AA74" s="152"/>
      <c r="AB74" s="69"/>
      <c r="AC74" s="34"/>
      <c r="AD74" s="33"/>
      <c r="AE74" s="69"/>
      <c r="AF74" s="69"/>
      <c r="AG74" s="69"/>
      <c r="AH74" s="69"/>
      <c r="AI74" s="69"/>
      <c r="AJ74" s="69"/>
      <c r="AK74" s="33"/>
      <c r="AL74" s="33"/>
      <c r="AM74" s="33"/>
      <c r="AN74" s="33"/>
      <c r="AO74" s="33"/>
      <c r="AP74" s="33"/>
      <c r="AQ74" s="33"/>
      <c r="AR74" s="33"/>
      <c r="AS74" s="33"/>
      <c r="AT74" s="33"/>
      <c r="AU74" s="33"/>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c r="CB74" s="69"/>
      <c r="CC74" s="69"/>
      <c r="CD74" s="69"/>
      <c r="CE74" s="69"/>
      <c r="CF74" s="69"/>
      <c r="CG74" s="69"/>
      <c r="CH74" s="69"/>
      <c r="CI74" s="69"/>
      <c r="CJ74" s="69"/>
      <c r="CK74" s="69"/>
      <c r="CL74" s="69"/>
      <c r="CM74" s="69"/>
      <c r="CN74" s="69"/>
      <c r="CO74" s="69"/>
      <c r="CP74" s="69"/>
      <c r="CQ74" s="69"/>
      <c r="CR74" s="69"/>
      <c r="CS74" s="69"/>
      <c r="CT74" s="69"/>
      <c r="CU74" s="69"/>
      <c r="CV74" s="69"/>
      <c r="CW74" s="69"/>
    </row>
    <row r="75" spans="1:101" ht="20.25" thickBot="1" x14ac:dyDescent="0.4">
      <c r="A75" s="69"/>
      <c r="B75" s="69"/>
      <c r="C75" s="69"/>
      <c r="D75" s="69"/>
      <c r="E75" s="69"/>
      <c r="F75" s="69"/>
      <c r="G75" s="69"/>
      <c r="H75" s="69"/>
      <c r="I75" s="69"/>
      <c r="J75" s="69"/>
      <c r="K75" s="69"/>
      <c r="L75" s="69"/>
      <c r="M75" s="69"/>
      <c r="N75" s="69"/>
      <c r="O75" s="115">
        <f>MAX(O2:O72)</f>
        <v>22.975000000000005</v>
      </c>
      <c r="P75" s="69"/>
      <c r="Q75" s="69"/>
      <c r="R75" s="69"/>
      <c r="S75" s="69"/>
      <c r="T75" s="69"/>
      <c r="U75" s="69"/>
      <c r="V75" s="69"/>
      <c r="W75" s="69"/>
      <c r="X75" s="69"/>
      <c r="Y75" s="69"/>
      <c r="Z75" s="69"/>
      <c r="AA75" s="152" t="s">
        <v>285</v>
      </c>
      <c r="AB75" s="151">
        <f>AVERAGE(AB2:AB72)</f>
        <v>9918.32698621292</v>
      </c>
      <c r="AC75" s="155" t="s">
        <v>239</v>
      </c>
      <c r="AD75" s="156" t="s">
        <v>240</v>
      </c>
      <c r="AE75" s="157" t="s">
        <v>289</v>
      </c>
      <c r="AF75" s="69"/>
      <c r="AG75" s="69"/>
      <c r="AH75" s="69"/>
      <c r="AI75" s="69"/>
      <c r="AJ75" s="69"/>
      <c r="AK75" s="33"/>
      <c r="AL75" s="33"/>
      <c r="AM75" s="33"/>
      <c r="AN75" s="33"/>
      <c r="AO75" s="33"/>
      <c r="AP75" s="33"/>
      <c r="AQ75" s="33"/>
      <c r="AR75" s="33"/>
      <c r="AS75" s="33"/>
      <c r="AT75" s="33"/>
      <c r="AU75" s="33"/>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c r="CB75" s="69"/>
      <c r="CC75" s="69"/>
      <c r="CD75" s="69"/>
      <c r="CE75" s="69"/>
      <c r="CF75" s="69"/>
      <c r="CG75" s="69"/>
      <c r="CH75" s="69"/>
      <c r="CI75" s="69"/>
      <c r="CJ75" s="69"/>
      <c r="CK75" s="69"/>
      <c r="CL75" s="69"/>
      <c r="CM75" s="69"/>
      <c r="CN75" s="69"/>
      <c r="CO75" s="69"/>
      <c r="CP75" s="69"/>
      <c r="CQ75" s="69"/>
      <c r="CR75" s="69"/>
      <c r="CS75" s="69"/>
      <c r="CT75" s="69"/>
      <c r="CU75" s="69"/>
      <c r="CV75" s="69"/>
      <c r="CW75" s="69"/>
    </row>
    <row r="76" spans="1:101" ht="20.25" thickBot="1" x14ac:dyDescent="0.4">
      <c r="A76" s="69"/>
      <c r="B76" s="69"/>
      <c r="C76" s="69"/>
      <c r="D76" s="69"/>
      <c r="E76" s="69"/>
      <c r="F76" s="69"/>
      <c r="G76" s="69"/>
      <c r="H76" s="69"/>
      <c r="I76" s="69"/>
      <c r="J76" s="69"/>
      <c r="K76" s="69"/>
      <c r="L76" s="69"/>
      <c r="M76" s="69"/>
      <c r="N76" s="69"/>
      <c r="O76" s="69"/>
      <c r="P76" s="69"/>
      <c r="Q76" s="69"/>
      <c r="R76" s="69"/>
      <c r="S76" s="69"/>
      <c r="T76" s="69"/>
      <c r="U76" s="69"/>
      <c r="V76" s="69"/>
      <c r="W76" s="69"/>
      <c r="X76" s="69"/>
      <c r="Y76" s="69"/>
      <c r="Z76" s="69"/>
      <c r="AA76" s="152" t="s">
        <v>287</v>
      </c>
      <c r="AB76" s="153">
        <f>SUM(AB2:AB72)</f>
        <v>704201.21602111729</v>
      </c>
      <c r="AC76" s="38">
        <v>30790.666869968245</v>
      </c>
      <c r="AD76" s="38">
        <v>9918.32698621292</v>
      </c>
      <c r="AE76" s="38">
        <v>1</v>
      </c>
      <c r="AF76" s="69"/>
      <c r="AG76" s="69"/>
      <c r="AH76" s="69"/>
      <c r="AI76" s="69"/>
      <c r="AJ76" s="69"/>
      <c r="AK76" s="33"/>
      <c r="AL76" s="33"/>
      <c r="AM76" s="33"/>
      <c r="AN76" s="33"/>
      <c r="AO76" s="33"/>
      <c r="AP76" s="33"/>
      <c r="AQ76" s="33"/>
      <c r="AR76" s="33"/>
      <c r="AS76" s="33"/>
      <c r="AT76" s="33"/>
      <c r="AU76" s="33"/>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c r="CB76" s="69"/>
      <c r="CC76" s="69"/>
      <c r="CD76" s="69"/>
      <c r="CE76" s="69"/>
      <c r="CF76" s="69"/>
      <c r="CG76" s="69"/>
      <c r="CH76" s="69"/>
      <c r="CI76" s="69"/>
      <c r="CJ76" s="69"/>
      <c r="CK76" s="69"/>
      <c r="CL76" s="69"/>
      <c r="CM76" s="69"/>
      <c r="CN76" s="69"/>
      <c r="CO76" s="69"/>
      <c r="CP76" s="69"/>
      <c r="CQ76" s="69"/>
      <c r="CR76" s="69"/>
      <c r="CS76" s="69"/>
      <c r="CT76" s="69"/>
      <c r="CU76" s="69"/>
      <c r="CV76" s="69"/>
      <c r="CW76" s="69"/>
    </row>
    <row r="77" spans="1:101" ht="20.25" thickBot="1" x14ac:dyDescent="0.4">
      <c r="A77" s="69"/>
      <c r="B77" s="69"/>
      <c r="C77" s="69"/>
      <c r="D77" s="69"/>
      <c r="E77" s="69"/>
      <c r="F77" s="69"/>
      <c r="G77" s="69"/>
      <c r="H77" s="69"/>
      <c r="I77" s="69"/>
      <c r="J77" s="69"/>
      <c r="K77" s="69"/>
      <c r="L77" s="69"/>
      <c r="M77" s="69"/>
      <c r="N77" s="69"/>
      <c r="O77" s="69"/>
      <c r="P77" s="69"/>
      <c r="Q77" s="69"/>
      <c r="R77" s="69"/>
      <c r="S77" s="69"/>
      <c r="T77" s="69"/>
      <c r="U77" s="69"/>
      <c r="V77" s="69"/>
      <c r="W77" s="69"/>
      <c r="X77" s="69"/>
      <c r="Y77" s="69"/>
      <c r="Z77" s="69"/>
      <c r="AA77" s="152" t="s">
        <v>288</v>
      </c>
      <c r="AB77" s="154">
        <f>SUMIF(AB2:AB72,"&gt;1")/(71-COUNTIF(AB2:AB72,"&gt;1"))</f>
        <v>30790.666869968245</v>
      </c>
      <c r="AC77" s="38">
        <v>30790.666869968245</v>
      </c>
      <c r="AD77" s="38">
        <v>9918.32698621292</v>
      </c>
      <c r="AE77" s="38">
        <v>71</v>
      </c>
      <c r="AF77" s="69"/>
      <c r="AG77" s="69"/>
      <c r="AH77" s="69"/>
      <c r="AI77" s="69"/>
      <c r="AJ77" s="69"/>
      <c r="AK77" s="33"/>
      <c r="AL77" s="33"/>
      <c r="AM77" s="33"/>
      <c r="AN77" s="33"/>
      <c r="AO77" s="33"/>
      <c r="AP77" s="33"/>
      <c r="AQ77" s="33"/>
      <c r="AR77" s="33"/>
      <c r="AS77" s="33"/>
      <c r="AT77" s="33"/>
      <c r="AU77" s="33"/>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c r="CB77" s="69"/>
      <c r="CC77" s="69"/>
      <c r="CD77" s="69"/>
      <c r="CE77" s="69"/>
      <c r="CF77" s="69"/>
      <c r="CG77" s="69"/>
      <c r="CH77" s="69"/>
      <c r="CI77" s="69"/>
      <c r="CJ77" s="69"/>
      <c r="CK77" s="69"/>
      <c r="CL77" s="69"/>
      <c r="CM77" s="69"/>
      <c r="CN77" s="69"/>
      <c r="CO77" s="69"/>
      <c r="CP77" s="69"/>
      <c r="CQ77" s="69"/>
      <c r="CR77" s="69"/>
      <c r="CS77" s="69"/>
      <c r="CT77" s="69"/>
      <c r="CU77" s="69"/>
      <c r="CV77" s="69"/>
      <c r="CW77" s="69"/>
    </row>
    <row r="78" spans="1:101" ht="19.5" x14ac:dyDescent="0.35">
      <c r="A78" s="69"/>
      <c r="B78" s="69"/>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33"/>
      <c r="AL78" s="33"/>
      <c r="AM78" s="33"/>
      <c r="AN78" s="33"/>
      <c r="AO78" s="33"/>
      <c r="AP78" s="33"/>
      <c r="AQ78" s="33"/>
      <c r="AR78" s="33"/>
      <c r="AS78" s="33"/>
      <c r="AT78" s="33"/>
      <c r="AU78" s="33"/>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c r="CB78" s="69"/>
      <c r="CC78" s="69"/>
      <c r="CD78" s="69"/>
      <c r="CE78" s="69"/>
      <c r="CF78" s="69"/>
      <c r="CG78" s="69"/>
      <c r="CH78" s="69"/>
      <c r="CI78" s="69"/>
      <c r="CJ78" s="69"/>
      <c r="CK78" s="69"/>
      <c r="CL78" s="69"/>
      <c r="CM78" s="69"/>
      <c r="CN78" s="69"/>
      <c r="CO78" s="69"/>
      <c r="CP78" s="69"/>
      <c r="CQ78" s="69"/>
      <c r="CR78" s="69"/>
      <c r="CS78" s="69"/>
      <c r="CT78" s="69"/>
      <c r="CU78" s="69"/>
      <c r="CV78" s="69"/>
      <c r="CW78" s="69"/>
    </row>
    <row r="79" spans="1:101" ht="19.5" x14ac:dyDescent="0.35">
      <c r="A79" s="69"/>
      <c r="B79" s="69"/>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33"/>
      <c r="AL79" s="33"/>
      <c r="AM79" s="33"/>
      <c r="AN79" s="33"/>
      <c r="AO79" s="33"/>
      <c r="AP79" s="33"/>
      <c r="AQ79" s="33"/>
      <c r="AR79" s="33"/>
      <c r="AS79" s="33"/>
      <c r="AT79" s="33"/>
      <c r="AU79" s="33"/>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c r="CB79" s="69"/>
      <c r="CC79" s="69"/>
      <c r="CD79" s="69"/>
      <c r="CE79" s="69"/>
      <c r="CF79" s="69"/>
      <c r="CG79" s="69"/>
      <c r="CH79" s="69"/>
      <c r="CI79" s="69"/>
      <c r="CJ79" s="69"/>
      <c r="CK79" s="69"/>
      <c r="CL79" s="69"/>
      <c r="CM79" s="69"/>
      <c r="CN79" s="69"/>
      <c r="CO79" s="69"/>
      <c r="CP79" s="69"/>
      <c r="CQ79" s="69"/>
      <c r="CR79" s="69"/>
      <c r="CS79" s="69"/>
      <c r="CT79" s="69"/>
      <c r="CU79" s="69"/>
      <c r="CV79" s="69"/>
      <c r="CW79" s="69"/>
    </row>
    <row r="80" spans="1:101" ht="19.5" x14ac:dyDescent="0.35">
      <c r="A80" s="69"/>
      <c r="B80" s="69"/>
      <c r="C80" s="69"/>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33"/>
      <c r="AL80" s="33"/>
      <c r="AM80" s="33"/>
      <c r="AN80" s="33"/>
      <c r="AO80" s="33"/>
      <c r="AP80" s="33"/>
      <c r="AQ80" s="33"/>
      <c r="AR80" s="33"/>
      <c r="AS80" s="33"/>
      <c r="AT80" s="33"/>
      <c r="AU80" s="33"/>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c r="CB80" s="69"/>
      <c r="CC80" s="69"/>
      <c r="CD80" s="69"/>
      <c r="CE80" s="69"/>
      <c r="CF80" s="69"/>
      <c r="CG80" s="69"/>
      <c r="CH80" s="69"/>
      <c r="CI80" s="69"/>
      <c r="CJ80" s="69"/>
      <c r="CK80" s="69"/>
      <c r="CL80" s="69"/>
      <c r="CM80" s="69"/>
      <c r="CN80" s="69"/>
      <c r="CO80" s="69"/>
      <c r="CP80" s="69"/>
      <c r="CQ80" s="69"/>
      <c r="CR80" s="69"/>
      <c r="CS80" s="69"/>
      <c r="CT80" s="69"/>
      <c r="CU80" s="69"/>
      <c r="CV80" s="69"/>
      <c r="CW80" s="69"/>
    </row>
    <row r="81" spans="1:101" ht="19.5" x14ac:dyDescent="0.35">
      <c r="A81" s="69"/>
      <c r="B81" s="69"/>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33"/>
      <c r="AL81" s="33"/>
      <c r="AM81" s="33"/>
      <c r="AN81" s="33"/>
      <c r="AO81" s="33"/>
      <c r="AP81" s="33"/>
      <c r="AQ81" s="33"/>
      <c r="AR81" s="33"/>
      <c r="AS81" s="33"/>
      <c r="AT81" s="33"/>
      <c r="AU81" s="33"/>
      <c r="AV81" s="69"/>
      <c r="AW81" s="69"/>
      <c r="AX81" s="69"/>
      <c r="AY81" s="69"/>
      <c r="AZ81" s="69"/>
      <c r="BA81" s="69"/>
      <c r="BB81" s="69"/>
      <c r="BC81" s="69"/>
      <c r="BD81" s="69"/>
      <c r="BE81" s="69"/>
      <c r="BF81" s="69"/>
      <c r="BG81" s="69"/>
      <c r="BH81" s="69"/>
      <c r="BI81" s="69"/>
      <c r="BJ81" s="69"/>
      <c r="BK81" s="69"/>
      <c r="BL81" s="69"/>
      <c r="BM81" s="69"/>
      <c r="BN81" s="69"/>
      <c r="BO81" s="69"/>
      <c r="BP81" s="69"/>
      <c r="BQ81" s="69"/>
      <c r="BR81" s="69"/>
      <c r="BS81" s="69"/>
      <c r="BT81" s="69"/>
      <c r="BU81" s="69"/>
      <c r="BV81" s="69"/>
      <c r="BW81" s="69"/>
      <c r="BX81" s="69"/>
      <c r="BY81" s="69"/>
      <c r="BZ81" s="69"/>
      <c r="CA81" s="69"/>
      <c r="CB81" s="69"/>
      <c r="CC81" s="69"/>
      <c r="CD81" s="69"/>
      <c r="CE81" s="69"/>
      <c r="CF81" s="69"/>
      <c r="CG81" s="69"/>
      <c r="CH81" s="69"/>
      <c r="CI81" s="69"/>
      <c r="CJ81" s="69"/>
      <c r="CK81" s="69"/>
      <c r="CL81" s="69"/>
      <c r="CM81" s="69"/>
      <c r="CN81" s="69"/>
      <c r="CO81" s="69"/>
      <c r="CP81" s="69"/>
      <c r="CQ81" s="69"/>
      <c r="CR81" s="69"/>
      <c r="CS81" s="69"/>
      <c r="CT81" s="69"/>
      <c r="CU81" s="69"/>
      <c r="CV81" s="69"/>
      <c r="CW81" s="69"/>
    </row>
    <row r="82" spans="1:101" ht="19.5" x14ac:dyDescent="0.35">
      <c r="A82" s="69"/>
      <c r="B82" s="69"/>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33"/>
      <c r="AL82" s="33"/>
      <c r="AM82" s="33"/>
      <c r="AN82" s="33"/>
      <c r="AO82" s="33"/>
      <c r="AP82" s="33"/>
      <c r="AQ82" s="33"/>
      <c r="AR82" s="33"/>
      <c r="AS82" s="33"/>
      <c r="AT82" s="33"/>
      <c r="AU82" s="33"/>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c r="CB82" s="69"/>
      <c r="CC82" s="69"/>
      <c r="CD82" s="69"/>
      <c r="CE82" s="69"/>
      <c r="CF82" s="69"/>
      <c r="CG82" s="69"/>
      <c r="CH82" s="69"/>
      <c r="CI82" s="69"/>
      <c r="CJ82" s="69"/>
      <c r="CK82" s="69"/>
      <c r="CL82" s="69"/>
      <c r="CM82" s="69"/>
      <c r="CN82" s="69"/>
      <c r="CO82" s="69"/>
      <c r="CP82" s="69"/>
      <c r="CQ82" s="69"/>
      <c r="CR82" s="69"/>
      <c r="CS82" s="69"/>
      <c r="CT82" s="69"/>
      <c r="CU82" s="69"/>
      <c r="CV82" s="69"/>
      <c r="CW82" s="69"/>
    </row>
    <row r="83" spans="1:101" ht="19.5" customHeight="1" x14ac:dyDescent="0.35">
      <c r="A83" s="122"/>
      <c r="B83" s="122"/>
      <c r="C83" s="122"/>
      <c r="D83" s="122"/>
      <c r="E83" s="122"/>
      <c r="F83" s="123"/>
      <c r="G83" s="123"/>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5"/>
      <c r="AL83" s="125"/>
      <c r="AM83" s="125"/>
      <c r="AN83" s="125"/>
      <c r="AO83" s="125"/>
      <c r="AP83" s="125"/>
      <c r="AQ83" s="125"/>
      <c r="AR83" s="125"/>
      <c r="AS83" s="125"/>
      <c r="AT83" s="125"/>
      <c r="AU83" s="125"/>
      <c r="AV83" s="128" t="s">
        <v>247</v>
      </c>
      <c r="AW83" s="126">
        <v>0.8</v>
      </c>
      <c r="AX83" s="122"/>
      <c r="AY83" s="122"/>
      <c r="AZ83" s="122"/>
      <c r="BA83" s="122"/>
      <c r="BB83" s="122"/>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c r="CB83" s="69"/>
      <c r="CC83" s="69"/>
      <c r="CD83" s="69"/>
      <c r="CE83" s="69"/>
      <c r="CF83" s="69"/>
      <c r="CG83" s="69"/>
      <c r="CH83" s="69"/>
      <c r="CI83" s="69"/>
      <c r="CJ83" s="69"/>
      <c r="CK83" s="69"/>
      <c r="CL83" s="69"/>
      <c r="CM83" s="69"/>
      <c r="CN83" s="69"/>
      <c r="CO83" s="69"/>
      <c r="CP83" s="69"/>
      <c r="CQ83" s="69"/>
      <c r="CR83" s="69"/>
      <c r="CS83" s="69"/>
      <c r="CT83" s="69"/>
      <c r="CU83" s="69"/>
      <c r="CV83" s="69"/>
      <c r="CW83" s="69"/>
    </row>
    <row r="84" spans="1:101" ht="19.5" customHeight="1" x14ac:dyDescent="0.35">
      <c r="A84" s="122"/>
      <c r="B84" s="122"/>
      <c r="C84" s="122"/>
      <c r="D84" s="122"/>
      <c r="E84" s="122"/>
      <c r="F84" s="158" t="s">
        <v>231</v>
      </c>
      <c r="G84" s="158"/>
      <c r="H84" s="122"/>
      <c r="I84" s="122"/>
      <c r="J84" s="122"/>
      <c r="K84" s="121" t="s">
        <v>172</v>
      </c>
      <c r="L84" s="121" t="s">
        <v>170</v>
      </c>
      <c r="M84" s="121" t="s">
        <v>192</v>
      </c>
      <c r="N84" s="121" t="s">
        <v>197</v>
      </c>
      <c r="O84" s="121" t="s">
        <v>177</v>
      </c>
      <c r="P84" s="121" t="s">
        <v>188</v>
      </c>
      <c r="Q84" s="121" t="s">
        <v>179</v>
      </c>
      <c r="R84" s="121" t="s">
        <v>173</v>
      </c>
      <c r="S84" s="121" t="s">
        <v>190</v>
      </c>
      <c r="T84" s="121" t="s">
        <v>174</v>
      </c>
      <c r="U84" s="121" t="s">
        <v>175</v>
      </c>
      <c r="V84" s="121" t="s">
        <v>176</v>
      </c>
      <c r="W84" s="121" t="s">
        <v>182</v>
      </c>
      <c r="X84" s="121" t="s">
        <v>181</v>
      </c>
      <c r="Y84" s="121" t="s">
        <v>180</v>
      </c>
      <c r="Z84" s="121" t="s">
        <v>183</v>
      </c>
      <c r="AA84" s="121" t="s">
        <v>138</v>
      </c>
      <c r="AB84" s="121" t="s">
        <v>137</v>
      </c>
      <c r="AC84" s="121" t="s">
        <v>157</v>
      </c>
      <c r="AD84" s="121" t="s">
        <v>233</v>
      </c>
      <c r="AE84" s="121" t="s">
        <v>234</v>
      </c>
      <c r="AF84" s="121" t="s">
        <v>235</v>
      </c>
      <c r="AG84" s="121" t="s">
        <v>294</v>
      </c>
      <c r="AH84" s="121" t="s">
        <v>291</v>
      </c>
      <c r="AI84" s="121" t="s">
        <v>292</v>
      </c>
      <c r="AJ84" s="132" t="s">
        <v>295</v>
      </c>
      <c r="AK84" s="132" t="s">
        <v>300</v>
      </c>
      <c r="AL84" s="132" t="s">
        <v>250</v>
      </c>
      <c r="AM84" s="132" t="s">
        <v>248</v>
      </c>
      <c r="AN84" s="132" t="s">
        <v>301</v>
      </c>
      <c r="AO84" s="132" t="s">
        <v>256</v>
      </c>
      <c r="AP84" s="132" t="s">
        <v>297</v>
      </c>
      <c r="AQ84" s="132" t="s">
        <v>296</v>
      </c>
      <c r="AR84" s="132" t="s">
        <v>255</v>
      </c>
      <c r="AS84" s="125"/>
      <c r="AT84" s="125"/>
      <c r="AU84" s="125"/>
      <c r="AV84" s="128" t="s">
        <v>232</v>
      </c>
      <c r="AW84" s="126">
        <v>0.85</v>
      </c>
      <c r="AX84" s="122"/>
      <c r="AY84" s="122"/>
      <c r="AZ84" s="122"/>
      <c r="BA84" s="122"/>
      <c r="BB84" s="122"/>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c r="CB84" s="69"/>
      <c r="CC84" s="69"/>
      <c r="CD84" s="69"/>
      <c r="CE84" s="69"/>
      <c r="CF84" s="69"/>
      <c r="CG84" s="69"/>
      <c r="CH84" s="69"/>
      <c r="CI84" s="69"/>
      <c r="CJ84" s="69"/>
      <c r="CK84" s="69"/>
      <c r="CL84" s="69"/>
      <c r="CM84" s="69"/>
      <c r="CN84" s="69"/>
      <c r="CO84" s="69"/>
      <c r="CP84" s="69"/>
      <c r="CQ84" s="69"/>
      <c r="CR84" s="69"/>
      <c r="CS84" s="69"/>
      <c r="CT84" s="69"/>
      <c r="CU84" s="69"/>
      <c r="CV84" s="69"/>
      <c r="CW84" s="69"/>
    </row>
    <row r="85" spans="1:101" ht="19.5" x14ac:dyDescent="0.35">
      <c r="A85" s="122"/>
      <c r="B85" s="122"/>
      <c r="C85" s="122"/>
      <c r="D85" s="122"/>
      <c r="E85" s="122"/>
      <c r="F85" s="126" t="s">
        <v>144</v>
      </c>
      <c r="G85" s="126" t="s">
        <v>145</v>
      </c>
      <c r="H85" s="122"/>
      <c r="I85" s="122"/>
      <c r="J85" s="122"/>
      <c r="K85" s="38">
        <v>0</v>
      </c>
      <c r="L85" s="38">
        <v>0</v>
      </c>
      <c r="M85" s="93">
        <v>0</v>
      </c>
      <c r="N85" s="38">
        <f>(M85/7.6635)*100</f>
        <v>0</v>
      </c>
      <c r="O85" s="38">
        <f>K85*M85</f>
        <v>0</v>
      </c>
      <c r="P85" s="38">
        <f>O85*2.237</f>
        <v>0</v>
      </c>
      <c r="Q85" s="38">
        <f t="shared" ref="Q85" si="47">K85*O85</f>
        <v>0</v>
      </c>
      <c r="R85" s="93">
        <f>L407</f>
        <v>0</v>
      </c>
      <c r="S85" s="93">
        <v>0</v>
      </c>
      <c r="T85" s="38">
        <v>0</v>
      </c>
      <c r="U85" s="93">
        <v>8</v>
      </c>
      <c r="V85" s="93">
        <v>0</v>
      </c>
      <c r="W85" s="38">
        <f>$E$6*M85</f>
        <v>0</v>
      </c>
      <c r="X85" s="38">
        <f>0.5*$B$3*$E$14*$E$13*O85^2</f>
        <v>0</v>
      </c>
      <c r="Y85" s="38">
        <f>$E$6*$B$5*$B$4</f>
        <v>568.98</v>
      </c>
      <c r="Z85" s="38">
        <f>$E$6*$B$5*SIN(RADIANS(V85))</f>
        <v>0</v>
      </c>
      <c r="AA85" s="38">
        <f>X85+Y85+Z85+W85</f>
        <v>568.98</v>
      </c>
      <c r="AB85" s="38">
        <f>AA85*O85</f>
        <v>0</v>
      </c>
      <c r="AC85" s="38">
        <f>147200-AB85</f>
        <v>147200</v>
      </c>
      <c r="AD85" s="126">
        <f>O85*3.6</f>
        <v>0</v>
      </c>
      <c r="AE85" s="126">
        <f>$B$4*(1+AD85/160)</f>
        <v>0.08</v>
      </c>
      <c r="AF85" s="126">
        <f t="shared" ref="AF85:AF116" si="48">($AW$84*$AW$85*($G$89*$B$5*AE85+0.5*$B$3*$G$97*$G$96*AD85*AD85)*AD85)*$AW$93</f>
        <v>0</v>
      </c>
      <c r="AG85" s="126">
        <f t="shared" ref="AG85:AG116" si="49">COUNTIF(AB85,"&gt;0")*AB85</f>
        <v>0</v>
      </c>
      <c r="AH85" s="126">
        <f>((COUNTIF(W85,"&gt;0")*W85)+(COUNTIF(X85,"&gt;0")*X85)+(COUNTIF(Y85,"&gt;0")*Y85)+(COUNTIF(Z85,"&gt;0")*Z85))*O85</f>
        <v>0</v>
      </c>
      <c r="AI85" s="126">
        <f>((COUNTIF(W85,"&lt;0")*W85)+(COUNTIF(X85,"&lt;0")*X85)+(COUNTIF(Y85,"&lt;0")*Y85)+(COUNTIF(Z85,"&lt;0")*Z85))*O85</f>
        <v>0</v>
      </c>
      <c r="AJ85" s="126">
        <f t="shared" ref="AJ85:AJ124" si="50">COUNTIF(AB85,"&gt;8000")</f>
        <v>0</v>
      </c>
      <c r="AK85" s="126">
        <f t="shared" ref="AK85:AK116" si="51">IF(AJ85,$AW$98,0)</f>
        <v>0</v>
      </c>
      <c r="AL85" s="126">
        <f t="shared" ref="AL85:AL116" si="52">AB85-AK85</f>
        <v>0</v>
      </c>
      <c r="AM85" s="126">
        <f>(COUNTIF(AL85,"&gt;1")*AL85)/$AW$94</f>
        <v>0</v>
      </c>
      <c r="AN85" s="126">
        <f>(COUNTIF(AL85,"&gt;1")*AL85)</f>
        <v>0</v>
      </c>
      <c r="AO85" s="126">
        <f t="shared" ref="AO85:AO116" si="53">(COUNTIF(AL85,"&lt;1")*AL85)*-$AW$94</f>
        <v>0</v>
      </c>
      <c r="AP85" s="126">
        <f>(COUNTIF(AM85,0)*$AW$97)+(AO85/6000)-(AM85/6000)</f>
        <v>24.8</v>
      </c>
      <c r="AQ85" s="126">
        <f>(AP85/$AW$97)*100</f>
        <v>100</v>
      </c>
      <c r="AR85" s="126">
        <f>COUNTIF(AP85,"&gt;28")</f>
        <v>0</v>
      </c>
      <c r="AS85" s="122"/>
      <c r="AT85" s="122"/>
      <c r="AU85" s="122"/>
      <c r="AV85" s="128" t="s">
        <v>236</v>
      </c>
      <c r="AW85" s="126">
        <v>0.94</v>
      </c>
      <c r="AX85" s="122"/>
      <c r="AY85" s="122"/>
      <c r="AZ85" s="122"/>
      <c r="BA85" s="122"/>
      <c r="BB85" s="122"/>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c r="CB85" s="69"/>
      <c r="CC85" s="69"/>
      <c r="CD85" s="69"/>
      <c r="CE85" s="69"/>
      <c r="CF85" s="69"/>
      <c r="CG85" s="69"/>
      <c r="CH85" s="69"/>
      <c r="CI85" s="69"/>
      <c r="CJ85" s="69"/>
      <c r="CK85" s="69"/>
      <c r="CL85" s="69"/>
      <c r="CM85" s="69"/>
      <c r="CN85" s="69"/>
      <c r="CO85" s="69"/>
      <c r="CP85" s="69"/>
      <c r="CQ85" s="69"/>
      <c r="CR85" s="69"/>
      <c r="CS85" s="69"/>
      <c r="CT85" s="69"/>
      <c r="CU85" s="69"/>
      <c r="CV85" s="69"/>
      <c r="CW85" s="69"/>
    </row>
    <row r="86" spans="1:101" ht="19.5" x14ac:dyDescent="0.35">
      <c r="A86" s="122"/>
      <c r="B86" s="122"/>
      <c r="C86" s="122"/>
      <c r="D86" s="122"/>
      <c r="E86" s="122"/>
      <c r="F86" s="126" t="s">
        <v>148</v>
      </c>
      <c r="G86" s="144">
        <v>575</v>
      </c>
      <c r="H86" s="122"/>
      <c r="I86" s="122"/>
      <c r="J86" s="122"/>
      <c r="K86" s="38">
        <v>1</v>
      </c>
      <c r="L86" s="38">
        <v>1</v>
      </c>
      <c r="M86" s="103">
        <v>4.5</v>
      </c>
      <c r="N86" s="38">
        <f>(M86/7.6635)*100</f>
        <v>58.719906048150328</v>
      </c>
      <c r="O86" s="38">
        <f>K86*M86</f>
        <v>4.5</v>
      </c>
      <c r="P86" s="38">
        <f t="shared" ref="P86:P149" si="54">O86*2.237</f>
        <v>10.066500000000001</v>
      </c>
      <c r="Q86" s="38">
        <f>K86*O86</f>
        <v>4.5</v>
      </c>
      <c r="R86" s="93">
        <f>Q86+R85</f>
        <v>4.5</v>
      </c>
      <c r="S86" s="103">
        <v>0.8</v>
      </c>
      <c r="T86" s="97">
        <f>Q86*(SIN(RADIANS(S86)))</f>
        <v>6.2829811526153717E-2</v>
      </c>
      <c r="U86" s="93">
        <f>U85+T86</f>
        <v>8.0628298115261536</v>
      </c>
      <c r="V86" s="93">
        <f t="shared" ref="V86:V149" si="55">DEGREES(ASIN(T86/Q86))</f>
        <v>0.79999999999999993</v>
      </c>
      <c r="W86" s="38">
        <f t="shared" ref="W86:W90" si="56">$E$6*M86</f>
        <v>3262.5</v>
      </c>
      <c r="X86" s="38">
        <f t="shared" ref="X86:X91" si="57">0.5*$B$3*$E$14*$E$13*O86^2</f>
        <v>7.0582994999999995</v>
      </c>
      <c r="Y86" s="38">
        <f t="shared" ref="Y86:Y129" si="58">$E$6*$B$5*$B$4</f>
        <v>568.98</v>
      </c>
      <c r="Z86" s="38">
        <f t="shared" ref="Z86:Z149" si="59">$E$6*$B$5*SIN(RADIANS(V86))</f>
        <v>99.302517117085955</v>
      </c>
      <c r="AA86" s="38">
        <f t="shared" ref="AA86:AA149" si="60">X86+Y86+Z86+W86</f>
        <v>3937.8408166170857</v>
      </c>
      <c r="AB86" s="38">
        <f t="shared" ref="AB86:AB148" si="61">AA86*O86</f>
        <v>17720.283674776885</v>
      </c>
      <c r="AC86" s="38">
        <f>147200-AB86</f>
        <v>129479.71632522311</v>
      </c>
      <c r="AD86" s="126">
        <f t="shared" ref="AD86:AD149" si="62">O86*3.6</f>
        <v>16.2</v>
      </c>
      <c r="AE86" s="126">
        <f t="shared" ref="AE86:AE149" si="63">$B$4*(1+AD86/160)</f>
        <v>8.8100000000000012E-2</v>
      </c>
      <c r="AF86" s="126">
        <f t="shared" si="48"/>
        <v>5703.3946368171291</v>
      </c>
      <c r="AG86" s="126">
        <f t="shared" si="49"/>
        <v>17720.283674776885</v>
      </c>
      <c r="AH86" s="126">
        <f t="shared" ref="AH86:AH149" si="64">((COUNTIF(W86,"&gt;0")*W86)+(COUNTIF(X86,"&gt;0")*X86)+(COUNTIF(Y86,"&gt;0")*Y86)+(COUNTIF(Z86,"&gt;0")*Z86))*O86</f>
        <v>17720.283674776889</v>
      </c>
      <c r="AI86" s="126">
        <f t="shared" ref="AI86:AI149" si="65">((COUNTIF(W86,"&lt;0")*W86)+(COUNTIF(X86,"&lt;0")*X86)+(COUNTIF(Y86,"&lt;0")*Y86)+(COUNTIF(Z86,"&lt;0")*Z86))*O86</f>
        <v>0</v>
      </c>
      <c r="AJ86" s="126">
        <f>COUNTIF(AB86,"&gt;8000")</f>
        <v>1</v>
      </c>
      <c r="AK86" s="126">
        <f>IF(AJ86,$AW$98,0)</f>
        <v>34000</v>
      </c>
      <c r="AL86" s="126">
        <f>AB86-AK86</f>
        <v>-16279.716325223115</v>
      </c>
      <c r="AM86" s="126">
        <f>(COUNTIF(AL86,"&gt;1")*AL86)/$AW$94</f>
        <v>0</v>
      </c>
      <c r="AN86" s="126">
        <f>(COUNTIF(AL86,"&gt;1")*AL86)</f>
        <v>0</v>
      </c>
      <c r="AO86" s="126">
        <f t="shared" si="53"/>
        <v>13007.493343853268</v>
      </c>
      <c r="AP86" s="126">
        <f>(COUNTIF(AM86,0)*AP85)+((COUNTIF(AM86,"&gt;1")*AP85)-(AM86/6000))+(AO86/6000)</f>
        <v>26.967915557308878</v>
      </c>
      <c r="AQ86" s="126">
        <f t="shared" ref="AQ86:AQ149" si="66">(AP86/$AW$97)*100</f>
        <v>108.74159498914871</v>
      </c>
      <c r="AR86" s="126">
        <f>COUNTIF(AP86,"&gt;28")</f>
        <v>0</v>
      </c>
      <c r="AS86" s="122"/>
      <c r="AT86" s="122"/>
      <c r="AU86" s="122"/>
      <c r="AV86" s="128" t="s">
        <v>237</v>
      </c>
      <c r="AW86" s="126">
        <v>170</v>
      </c>
      <c r="AX86" s="122"/>
      <c r="AY86" s="122"/>
      <c r="AZ86" s="122"/>
      <c r="BA86" s="122"/>
      <c r="BB86" s="122"/>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c r="CB86" s="69"/>
      <c r="CC86" s="69"/>
      <c r="CD86" s="69"/>
      <c r="CE86" s="69"/>
      <c r="CF86" s="69"/>
      <c r="CG86" s="69"/>
      <c r="CH86" s="69"/>
      <c r="CI86" s="69"/>
      <c r="CJ86" s="69"/>
      <c r="CK86" s="69"/>
      <c r="CL86" s="69"/>
      <c r="CM86" s="69"/>
      <c r="CN86" s="69"/>
      <c r="CO86" s="69"/>
      <c r="CP86" s="69"/>
      <c r="CQ86" s="69"/>
      <c r="CR86" s="69"/>
      <c r="CS86" s="69"/>
      <c r="CT86" s="69"/>
      <c r="CU86" s="69"/>
      <c r="CV86" s="69"/>
      <c r="CW86" s="69"/>
    </row>
    <row r="87" spans="1:101" ht="19.5" x14ac:dyDescent="0.35">
      <c r="A87" s="122"/>
      <c r="B87" s="122"/>
      <c r="C87" s="122"/>
      <c r="D87" s="122"/>
      <c r="E87" s="122"/>
      <c r="F87" s="126" t="s">
        <v>184</v>
      </c>
      <c r="G87" s="144">
        <v>75</v>
      </c>
      <c r="H87" s="122"/>
      <c r="I87" s="122"/>
      <c r="J87" s="122"/>
      <c r="K87" s="38">
        <v>1</v>
      </c>
      <c r="L87" s="38">
        <v>2</v>
      </c>
      <c r="M87" s="103">
        <v>5.9</v>
      </c>
      <c r="N87" s="38">
        <f t="shared" ref="N87:N105" si="67">(M87/7.6635)*100</f>
        <v>76.98832126313043</v>
      </c>
      <c r="O87" s="38">
        <f>(K87*M87)+O86</f>
        <v>10.4</v>
      </c>
      <c r="P87" s="38">
        <f t="shared" si="54"/>
        <v>23.264800000000001</v>
      </c>
      <c r="Q87" s="38">
        <f t="shared" ref="Q87:Q150" si="68">K87*O87</f>
        <v>10.4</v>
      </c>
      <c r="R87" s="93">
        <f t="shared" ref="R87:R88" si="69">Q87+R86</f>
        <v>14.9</v>
      </c>
      <c r="S87" s="103">
        <v>0.8</v>
      </c>
      <c r="T87" s="97">
        <f t="shared" ref="T87:T88" si="70">Q87*(SIN(RADIANS(S87)))</f>
        <v>0.14520667552711083</v>
      </c>
      <c r="U87" s="93">
        <f>U86+T87</f>
        <v>8.2080364870532652</v>
      </c>
      <c r="V87" s="93">
        <f t="shared" si="55"/>
        <v>0.8</v>
      </c>
      <c r="W87" s="38">
        <f t="shared" si="56"/>
        <v>4277.5</v>
      </c>
      <c r="X87" s="38">
        <f t="shared" si="57"/>
        <v>37.70003328</v>
      </c>
      <c r="Y87" s="38">
        <f t="shared" si="58"/>
        <v>568.98</v>
      </c>
      <c r="Z87" s="38">
        <f t="shared" si="59"/>
        <v>99.302517117085955</v>
      </c>
      <c r="AA87" s="38">
        <f t="shared" si="60"/>
        <v>4983.482550397086</v>
      </c>
      <c r="AB87" s="38">
        <f t="shared" si="61"/>
        <v>51828.218524129697</v>
      </c>
      <c r="AC87" s="38">
        <f t="shared" ref="AC87:AC150" si="71">147200-AB87</f>
        <v>95371.781475870303</v>
      </c>
      <c r="AD87" s="126">
        <f t="shared" si="62"/>
        <v>37.440000000000005</v>
      </c>
      <c r="AE87" s="126">
        <f t="shared" si="63"/>
        <v>9.8720000000000002E-2</v>
      </c>
      <c r="AF87" s="126">
        <f t="shared" si="48"/>
        <v>21857.374223712297</v>
      </c>
      <c r="AG87" s="126">
        <f t="shared" si="49"/>
        <v>51828.218524129697</v>
      </c>
      <c r="AH87" s="126">
        <f t="shared" si="64"/>
        <v>51828.21852412969</v>
      </c>
      <c r="AI87" s="126">
        <f t="shared" si="65"/>
        <v>0</v>
      </c>
      <c r="AJ87" s="126">
        <f t="shared" si="50"/>
        <v>1</v>
      </c>
      <c r="AK87" s="126">
        <f>IF(AJ87,$AW$98,0)</f>
        <v>34000</v>
      </c>
      <c r="AL87" s="126">
        <f>AB87-AK87</f>
        <v>17828.218524129697</v>
      </c>
      <c r="AM87" s="126">
        <f>(COUNTIF(AL87,"&gt;1")*AL87)/$AW$94</f>
        <v>22313.164610925782</v>
      </c>
      <c r="AN87" s="126">
        <f>(COUNTIF(AL87,"&gt;1")*AL87)</f>
        <v>17828.218524129697</v>
      </c>
      <c r="AO87" s="126">
        <f t="shared" si="53"/>
        <v>0</v>
      </c>
      <c r="AP87" s="126">
        <f t="shared" ref="AP87:AP150" si="72">(COUNTIF(AM87,0)*AP86)+((COUNTIF(AM87,"&gt;1")*AP86)-(AM87/6000))+(AO87/6000)</f>
        <v>23.249054788821248</v>
      </c>
      <c r="AQ87" s="126">
        <f>(AP87/$AW$97)*100</f>
        <v>93.746188664601803</v>
      </c>
      <c r="AR87" s="126">
        <f t="shared" ref="AR87:AR150" si="73">COUNTIF(AP87,"&gt;28")</f>
        <v>0</v>
      </c>
      <c r="AS87" s="122"/>
      <c r="AT87" s="122"/>
      <c r="AU87" s="122"/>
      <c r="AV87" s="128" t="s">
        <v>299</v>
      </c>
      <c r="AW87" s="126">
        <v>16.5</v>
      </c>
      <c r="AX87" s="122"/>
      <c r="AY87" s="122"/>
      <c r="AZ87" s="122"/>
      <c r="BA87" s="122"/>
      <c r="BB87" s="122"/>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c r="CB87" s="69"/>
      <c r="CC87" s="69"/>
      <c r="CD87" s="69"/>
      <c r="CE87" s="69"/>
      <c r="CF87" s="69"/>
      <c r="CG87" s="69"/>
      <c r="CH87" s="69"/>
      <c r="CI87" s="69"/>
      <c r="CJ87" s="69"/>
      <c r="CK87" s="69"/>
      <c r="CL87" s="69"/>
      <c r="CM87" s="69"/>
      <c r="CN87" s="69"/>
      <c r="CO87" s="69"/>
      <c r="CP87" s="69"/>
      <c r="CQ87" s="69"/>
      <c r="CR87" s="69"/>
      <c r="CS87" s="69"/>
      <c r="CT87" s="69"/>
      <c r="CU87" s="69"/>
      <c r="CV87" s="69"/>
      <c r="CW87" s="69"/>
    </row>
    <row r="88" spans="1:101" ht="19.5" x14ac:dyDescent="0.35">
      <c r="A88" s="122"/>
      <c r="B88" s="122"/>
      <c r="C88" s="122"/>
      <c r="D88" s="122"/>
      <c r="E88" s="122"/>
      <c r="F88" s="126" t="s">
        <v>191</v>
      </c>
      <c r="G88" s="144">
        <v>2</v>
      </c>
      <c r="H88" s="122"/>
      <c r="I88" s="122"/>
      <c r="J88" s="122"/>
      <c r="K88" s="38">
        <v>1</v>
      </c>
      <c r="L88" s="38">
        <v>3</v>
      </c>
      <c r="M88" s="103">
        <v>6.1</v>
      </c>
      <c r="N88" s="38">
        <f t="shared" si="67"/>
        <v>79.598094865270426</v>
      </c>
      <c r="O88" s="38">
        <f t="shared" ref="O88:O151" si="74">(K88*M88)+O87</f>
        <v>16.5</v>
      </c>
      <c r="P88" s="38">
        <f t="shared" si="54"/>
        <v>36.910499999999999</v>
      </c>
      <c r="Q88" s="38">
        <f t="shared" si="68"/>
        <v>16.5</v>
      </c>
      <c r="R88" s="93">
        <f t="shared" si="69"/>
        <v>31.4</v>
      </c>
      <c r="S88" s="103">
        <v>0.86</v>
      </c>
      <c r="T88" s="97">
        <f t="shared" si="70"/>
        <v>0.24765292145094073</v>
      </c>
      <c r="U88" s="93">
        <f>U87+T88</f>
        <v>8.455689408504206</v>
      </c>
      <c r="V88" s="93">
        <f t="shared" si="55"/>
        <v>0.8600000000000001</v>
      </c>
      <c r="W88" s="38">
        <f t="shared" si="56"/>
        <v>4422.5</v>
      </c>
      <c r="X88" s="38">
        <f t="shared" si="57"/>
        <v>94.894915499999996</v>
      </c>
      <c r="Y88" s="38">
        <f t="shared" si="58"/>
        <v>568.98</v>
      </c>
      <c r="Z88" s="38">
        <f t="shared" si="59"/>
        <v>106.7496660963305</v>
      </c>
      <c r="AA88" s="38">
        <f t="shared" si="60"/>
        <v>5193.1245815963302</v>
      </c>
      <c r="AB88" s="38">
        <f t="shared" si="61"/>
        <v>85686.555596339444</v>
      </c>
      <c r="AC88" s="38">
        <f t="shared" si="71"/>
        <v>61513.444403660556</v>
      </c>
      <c r="AD88" s="126">
        <f t="shared" si="62"/>
        <v>59.4</v>
      </c>
      <c r="AE88" s="126">
        <f t="shared" si="63"/>
        <v>0.10969999999999999</v>
      </c>
      <c r="AF88" s="126">
        <f t="shared" si="48"/>
        <v>58539.43159909395</v>
      </c>
      <c r="AG88" s="126">
        <f t="shared" si="49"/>
        <v>85686.555596339444</v>
      </c>
      <c r="AH88" s="126">
        <f t="shared" si="64"/>
        <v>85686.555596339458</v>
      </c>
      <c r="AI88" s="126">
        <f t="shared" si="65"/>
        <v>0</v>
      </c>
      <c r="AJ88" s="126">
        <f t="shared" si="50"/>
        <v>1</v>
      </c>
      <c r="AK88" s="126">
        <f t="shared" si="51"/>
        <v>34000</v>
      </c>
      <c r="AL88" s="126">
        <f t="shared" si="52"/>
        <v>51686.555596339444</v>
      </c>
      <c r="AM88" s="126">
        <f>(COUNTIF(AL88,"&gt;1")*AL88)/$AW$94*0.3</f>
        <v>19406.716744557991</v>
      </c>
      <c r="AN88" s="126">
        <f t="shared" ref="AN87:AN150" si="75">(COUNTIF(AL88,"&gt;1")*AL88)</f>
        <v>51686.555596339444</v>
      </c>
      <c r="AO88" s="126">
        <f t="shared" si="53"/>
        <v>0</v>
      </c>
      <c r="AP88" s="126">
        <f>(COUNTIF(AM88,0)*AP87)+((COUNTIF(AM88,"&gt;1")*AP87)-(AM88/6000))+(AO88/6000)</f>
        <v>20.014601998061583</v>
      </c>
      <c r="AQ88" s="126">
        <f t="shared" si="66"/>
        <v>80.704040314764441</v>
      </c>
      <c r="AR88" s="126">
        <f t="shared" si="73"/>
        <v>0</v>
      </c>
      <c r="AS88" s="122"/>
      <c r="AT88" s="122"/>
      <c r="AU88" s="122"/>
      <c r="AV88" s="128" t="s">
        <v>238</v>
      </c>
      <c r="AW88" s="126">
        <f>(AW86/AW85)-AW87</f>
        <v>164.35106382978725</v>
      </c>
      <c r="AX88" s="122"/>
      <c r="AY88" s="122"/>
      <c r="AZ88" s="122"/>
      <c r="BA88" s="122"/>
      <c r="BB88" s="122"/>
      <c r="BC88" s="69"/>
      <c r="BD88" s="69"/>
      <c r="BE88" s="69"/>
      <c r="BF88" s="69"/>
      <c r="BG88" s="69"/>
      <c r="BH88" s="69"/>
      <c r="BI88" s="69"/>
      <c r="BJ88" s="110"/>
      <c r="BK88" s="69"/>
      <c r="BL88" s="69"/>
      <c r="BM88" s="69"/>
      <c r="BN88" s="69"/>
      <c r="BO88" s="69"/>
      <c r="BP88" s="69"/>
      <c r="BQ88" s="69"/>
      <c r="BR88" s="69"/>
      <c r="BS88" s="69"/>
      <c r="BT88" s="69"/>
      <c r="BU88" s="69"/>
      <c r="BV88" s="69"/>
      <c r="BW88" s="69"/>
      <c r="BX88" s="69"/>
      <c r="BY88" s="69"/>
      <c r="BZ88" s="69"/>
      <c r="CA88" s="69"/>
      <c r="CB88" s="69"/>
      <c r="CC88" s="69"/>
      <c r="CD88" s="69"/>
      <c r="CE88" s="69"/>
      <c r="CF88" s="69"/>
      <c r="CG88" s="69"/>
      <c r="CH88" s="69"/>
      <c r="CI88" s="69"/>
      <c r="CJ88" s="69"/>
      <c r="CK88" s="69"/>
      <c r="CL88" s="69"/>
      <c r="CM88" s="69"/>
      <c r="CN88" s="69"/>
      <c r="CO88" s="69"/>
      <c r="CP88" s="69"/>
      <c r="CQ88" s="69"/>
      <c r="CR88" s="69"/>
      <c r="CS88" s="69"/>
      <c r="CT88" s="69"/>
      <c r="CU88" s="69"/>
      <c r="CV88" s="69"/>
      <c r="CW88" s="69"/>
    </row>
    <row r="89" spans="1:101" ht="19.5" x14ac:dyDescent="0.35">
      <c r="A89" s="122"/>
      <c r="B89" s="122"/>
      <c r="C89" s="122"/>
      <c r="D89" s="122"/>
      <c r="E89" s="122"/>
      <c r="F89" s="144" t="s">
        <v>146</v>
      </c>
      <c r="G89" s="144">
        <v>725</v>
      </c>
      <c r="H89" s="122"/>
      <c r="I89" s="122"/>
      <c r="J89" s="122"/>
      <c r="K89" s="38">
        <v>1</v>
      </c>
      <c r="L89" s="98">
        <v>4</v>
      </c>
      <c r="M89" s="103">
        <v>6.2</v>
      </c>
      <c r="N89" s="38">
        <f t="shared" si="67"/>
        <v>80.902981666340452</v>
      </c>
      <c r="O89" s="38">
        <f t="shared" si="74"/>
        <v>22.7</v>
      </c>
      <c r="P89" s="38">
        <f t="shared" si="54"/>
        <v>50.779899999999998</v>
      </c>
      <c r="Q89" s="38">
        <f t="shared" si="68"/>
        <v>22.7</v>
      </c>
      <c r="R89" s="100">
        <f>Q89+R88</f>
        <v>54.099999999999994</v>
      </c>
      <c r="S89" s="103">
        <v>7.1272878819970913</v>
      </c>
      <c r="T89" s="97">
        <f>Q89*(SIN(RADIANS(S89)))</f>
        <v>2.8164814814814818</v>
      </c>
      <c r="U89" s="100">
        <f>U88+T89</f>
        <v>11.272170889985688</v>
      </c>
      <c r="V89" s="93">
        <f t="shared" si="55"/>
        <v>7.1272878819970913</v>
      </c>
      <c r="W89" s="38">
        <f t="shared" si="56"/>
        <v>4495</v>
      </c>
      <c r="X89" s="38">
        <f t="shared" si="57"/>
        <v>179.60845181999997</v>
      </c>
      <c r="Y89" s="38">
        <f t="shared" si="58"/>
        <v>568.98</v>
      </c>
      <c r="Z89" s="38">
        <f t="shared" si="59"/>
        <v>882.44583333333344</v>
      </c>
      <c r="AA89" s="38">
        <f t="shared" si="60"/>
        <v>6126.0342851533333</v>
      </c>
      <c r="AB89" s="38">
        <f t="shared" si="61"/>
        <v>139060.97827298066</v>
      </c>
      <c r="AC89" s="38">
        <f t="shared" si="71"/>
        <v>8139.0217270193389</v>
      </c>
      <c r="AD89" s="126">
        <f t="shared" si="62"/>
        <v>81.72</v>
      </c>
      <c r="AE89" s="126">
        <f t="shared" si="63"/>
        <v>0.12086000000000001</v>
      </c>
      <c r="AF89" s="126">
        <f t="shared" si="48"/>
        <v>127704.94785074379</v>
      </c>
      <c r="AG89" s="126">
        <f t="shared" si="49"/>
        <v>139060.97827298066</v>
      </c>
      <c r="AH89" s="126">
        <f t="shared" si="64"/>
        <v>139060.97827298066</v>
      </c>
      <c r="AI89" s="126">
        <f t="shared" si="65"/>
        <v>0</v>
      </c>
      <c r="AJ89" s="126">
        <f t="shared" si="50"/>
        <v>1</v>
      </c>
      <c r="AK89" s="126">
        <f t="shared" si="51"/>
        <v>34000</v>
      </c>
      <c r="AL89" s="126">
        <f t="shared" si="52"/>
        <v>105060.97827298066</v>
      </c>
      <c r="AM89" s="126">
        <f>(COUNTIF(AL89,"&gt;1")*AL89)/$AW$94*0.3</f>
        <v>39447.175822145437</v>
      </c>
      <c r="AN89" s="126">
        <f t="shared" si="75"/>
        <v>105060.97827298066</v>
      </c>
      <c r="AO89" s="126">
        <f t="shared" si="53"/>
        <v>0</v>
      </c>
      <c r="AP89" s="126">
        <f>(COUNTIF(AM89,0)*AP88)+((COUNTIF(AM89,"&gt;1")*AP88)-(AM89/6000))+(AO89/6000)</f>
        <v>13.440072694370677</v>
      </c>
      <c r="AQ89" s="126">
        <f t="shared" si="66"/>
        <v>54.193841509559185</v>
      </c>
      <c r="AR89" s="126">
        <f t="shared" si="73"/>
        <v>0</v>
      </c>
      <c r="AS89" s="122"/>
      <c r="AT89" s="122"/>
      <c r="AU89" s="122"/>
      <c r="AV89" s="128" t="s">
        <v>242</v>
      </c>
      <c r="AW89" s="126">
        <f>(G89/2*3.5)*(AZ5^2+0)+2/3*G89*B5*AE85*AZ5+1/5*B3*G97*G96*AZ5^3</f>
        <v>680116.19393813738</v>
      </c>
      <c r="AX89" s="122"/>
      <c r="AY89" s="122"/>
      <c r="AZ89" s="122"/>
      <c r="BA89" s="122"/>
      <c r="BB89" s="122"/>
      <c r="BC89" s="69"/>
      <c r="BD89" s="69"/>
      <c r="BE89" s="69"/>
      <c r="BF89" s="69"/>
      <c r="BG89" s="69"/>
      <c r="BH89" s="69"/>
      <c r="BI89" s="69"/>
      <c r="BJ89" s="69"/>
      <c r="BK89" s="69"/>
      <c r="BL89" s="69"/>
      <c r="BM89" s="69"/>
      <c r="BN89" s="69"/>
      <c r="BO89" s="69"/>
      <c r="BP89" s="69"/>
      <c r="BQ89" s="69"/>
      <c r="BR89" s="69"/>
      <c r="BS89" s="69"/>
      <c r="BT89" s="69"/>
      <c r="BU89" s="69"/>
      <c r="BV89" s="69"/>
      <c r="BW89" s="69"/>
      <c r="BX89" s="69"/>
      <c r="BY89" s="69"/>
      <c r="BZ89" s="69"/>
      <c r="CA89" s="69"/>
      <c r="CB89" s="69"/>
      <c r="CC89" s="69"/>
      <c r="CD89" s="69"/>
      <c r="CE89" s="69"/>
      <c r="CF89" s="69"/>
      <c r="CG89" s="69"/>
      <c r="CH89" s="69"/>
      <c r="CI89" s="69"/>
      <c r="CJ89" s="69"/>
      <c r="CK89" s="69"/>
      <c r="CL89" s="69"/>
      <c r="CM89" s="69"/>
      <c r="CN89" s="69"/>
      <c r="CO89" s="69"/>
      <c r="CP89" s="69"/>
      <c r="CQ89" s="69"/>
      <c r="CR89" s="69"/>
      <c r="CS89" s="69"/>
      <c r="CT89" s="69"/>
      <c r="CU89" s="69"/>
      <c r="CV89" s="69"/>
      <c r="CW89" s="69"/>
    </row>
    <row r="90" spans="1:101" ht="19.5" x14ac:dyDescent="0.35">
      <c r="A90" s="122"/>
      <c r="B90" s="122"/>
      <c r="C90" s="122"/>
      <c r="D90" s="122"/>
      <c r="E90" s="122"/>
      <c r="F90" s="126" t="s">
        <v>75</v>
      </c>
      <c r="G90" s="126" t="s">
        <v>73</v>
      </c>
      <c r="H90" s="122"/>
      <c r="I90" s="122"/>
      <c r="J90" s="122"/>
      <c r="K90" s="38">
        <v>1</v>
      </c>
      <c r="L90" s="38">
        <v>5</v>
      </c>
      <c r="M90" s="103">
        <v>-1.9</v>
      </c>
      <c r="N90" s="38">
        <f t="shared" si="67"/>
        <v>-24.792849220330133</v>
      </c>
      <c r="O90" s="38">
        <f t="shared" si="74"/>
        <v>20.8</v>
      </c>
      <c r="P90" s="38">
        <f t="shared" si="54"/>
        <v>46.529600000000002</v>
      </c>
      <c r="Q90" s="38">
        <f t="shared" si="68"/>
        <v>20.8</v>
      </c>
      <c r="R90" s="93">
        <f t="shared" ref="R90:R96" si="76">Q90+R89</f>
        <v>74.899999999999991</v>
      </c>
      <c r="S90" s="103">
        <v>7.1272878819970913</v>
      </c>
      <c r="T90" s="97">
        <f t="shared" ref="T90:T100" si="77">Q90*(SIN(RADIANS(S90)))</f>
        <v>2.5807407407407412</v>
      </c>
      <c r="U90" s="93">
        <f t="shared" ref="U90:U97" si="78">U89+T90</f>
        <v>13.852911630726428</v>
      </c>
      <c r="V90" s="93">
        <f t="shared" si="55"/>
        <v>7.1272878819970913</v>
      </c>
      <c r="W90" s="38">
        <f t="shared" si="56"/>
        <v>-1377.5</v>
      </c>
      <c r="X90" s="38">
        <f t="shared" si="57"/>
        <v>150.80013312</v>
      </c>
      <c r="Y90" s="38">
        <f t="shared" si="58"/>
        <v>568.98</v>
      </c>
      <c r="Z90" s="38">
        <f t="shared" si="59"/>
        <v>882.44583333333344</v>
      </c>
      <c r="AA90" s="38">
        <f t="shared" si="60"/>
        <v>224.72596645333351</v>
      </c>
      <c r="AB90" s="38">
        <f t="shared" si="61"/>
        <v>4674.3001022293374</v>
      </c>
      <c r="AC90" s="38">
        <f t="shared" si="71"/>
        <v>142525.69989777065</v>
      </c>
      <c r="AD90" s="126">
        <f t="shared" si="62"/>
        <v>74.88000000000001</v>
      </c>
      <c r="AE90" s="126">
        <f t="shared" si="63"/>
        <v>0.11744</v>
      </c>
      <c r="AF90" s="126">
        <f t="shared" si="48"/>
        <v>102415.94755499286</v>
      </c>
      <c r="AG90" s="126">
        <f t="shared" si="49"/>
        <v>4674.3001022293374</v>
      </c>
      <c r="AH90" s="126">
        <f t="shared" si="64"/>
        <v>33326.300102229339</v>
      </c>
      <c r="AI90" s="126">
        <f t="shared" si="65"/>
        <v>-28652</v>
      </c>
      <c r="AJ90" s="126">
        <f t="shared" si="50"/>
        <v>0</v>
      </c>
      <c r="AK90" s="126">
        <f t="shared" si="51"/>
        <v>0</v>
      </c>
      <c r="AL90" s="126">
        <f t="shared" si="52"/>
        <v>4674.3001022293374</v>
      </c>
      <c r="AM90" s="126">
        <f t="shared" ref="AM90:AM121" si="79">(COUNTIF(AL90,"&gt;1")*AL90)/$AW$94</f>
        <v>5850.187862614941</v>
      </c>
      <c r="AN90" s="126">
        <f t="shared" si="75"/>
        <v>4674.3001022293374</v>
      </c>
      <c r="AO90" s="126">
        <f t="shared" si="53"/>
        <v>0</v>
      </c>
      <c r="AP90" s="126">
        <f t="shared" si="72"/>
        <v>12.465041383934853</v>
      </c>
      <c r="AQ90" s="126">
        <f t="shared" si="66"/>
        <v>50.262263644898596</v>
      </c>
      <c r="AR90" s="126">
        <f t="shared" si="73"/>
        <v>0</v>
      </c>
      <c r="AS90" s="122"/>
      <c r="AT90" s="122"/>
      <c r="AU90" s="122"/>
      <c r="AV90" s="128" t="s">
        <v>243</v>
      </c>
      <c r="AW90" s="126">
        <f>(3.14159265*AX8*AY5)/(30*AZ5)</f>
        <v>59.289222966006704</v>
      </c>
      <c r="AX90" s="122"/>
      <c r="AY90" s="122"/>
      <c r="AZ90" s="122"/>
      <c r="BA90" s="122"/>
      <c r="BB90" s="122"/>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c r="CB90" s="69"/>
      <c r="CC90" s="69"/>
      <c r="CD90" s="69"/>
      <c r="CE90" s="69"/>
      <c r="CF90" s="69"/>
      <c r="CG90" s="69"/>
      <c r="CH90" s="69"/>
      <c r="CI90" s="69"/>
      <c r="CJ90" s="69"/>
      <c r="CK90" s="69"/>
      <c r="CL90" s="69"/>
      <c r="CM90" s="69"/>
      <c r="CN90" s="69"/>
      <c r="CO90" s="69"/>
      <c r="CP90" s="69"/>
      <c r="CQ90" s="69"/>
      <c r="CR90" s="69"/>
      <c r="CS90" s="69"/>
      <c r="CT90" s="69"/>
      <c r="CU90" s="69"/>
      <c r="CV90" s="69"/>
      <c r="CW90" s="69"/>
    </row>
    <row r="91" spans="1:101" ht="19.5" x14ac:dyDescent="0.35">
      <c r="A91" s="122"/>
      <c r="B91" s="122"/>
      <c r="C91" s="122"/>
      <c r="D91" s="122"/>
      <c r="E91" s="122"/>
      <c r="F91" s="126" t="s">
        <v>79</v>
      </c>
      <c r="G91" s="126" t="s">
        <v>76</v>
      </c>
      <c r="H91" s="122"/>
      <c r="I91" s="122"/>
      <c r="J91" s="122"/>
      <c r="K91" s="38">
        <v>1</v>
      </c>
      <c r="L91" s="38">
        <v>6</v>
      </c>
      <c r="M91" s="103">
        <v>-2.65</v>
      </c>
      <c r="N91" s="38">
        <f t="shared" si="67"/>
        <v>-34.579500228355187</v>
      </c>
      <c r="O91" s="38">
        <f t="shared" si="74"/>
        <v>18.150000000000002</v>
      </c>
      <c r="P91" s="38">
        <f t="shared" si="54"/>
        <v>40.601550000000003</v>
      </c>
      <c r="Q91" s="38">
        <f t="shared" si="68"/>
        <v>18.150000000000002</v>
      </c>
      <c r="R91" s="93">
        <f t="shared" si="76"/>
        <v>93.05</v>
      </c>
      <c r="S91" s="103">
        <v>7.1272878819970913</v>
      </c>
      <c r="T91" s="97">
        <f t="shared" si="77"/>
        <v>2.2519444444444447</v>
      </c>
      <c r="U91" s="93">
        <f t="shared" si="78"/>
        <v>16.104856075170872</v>
      </c>
      <c r="V91" s="93">
        <f t="shared" si="55"/>
        <v>7.1272878819970913</v>
      </c>
      <c r="W91" s="38">
        <f>$E$6*M91</f>
        <v>-1921.25</v>
      </c>
      <c r="X91" s="38">
        <f t="shared" si="57"/>
        <v>114.82284775500001</v>
      </c>
      <c r="Y91" s="38">
        <f t="shared" si="58"/>
        <v>568.98</v>
      </c>
      <c r="Z91" s="38">
        <f t="shared" si="59"/>
        <v>882.44583333333344</v>
      </c>
      <c r="AA91" s="38">
        <f t="shared" si="60"/>
        <v>-355.00131891166666</v>
      </c>
      <c r="AB91" s="38">
        <f t="shared" si="61"/>
        <v>-6443.2739382467507</v>
      </c>
      <c r="AC91" s="38">
        <f t="shared" si="71"/>
        <v>153643.27393824674</v>
      </c>
      <c r="AD91" s="126">
        <f t="shared" si="62"/>
        <v>65.34</v>
      </c>
      <c r="AE91" s="126">
        <f t="shared" si="63"/>
        <v>0.11266999999999999</v>
      </c>
      <c r="AF91" s="126">
        <f t="shared" si="48"/>
        <v>73343.802891706771</v>
      </c>
      <c r="AG91" s="126">
        <f t="shared" si="49"/>
        <v>0</v>
      </c>
      <c r="AH91" s="126">
        <f t="shared" si="64"/>
        <v>28427.413561753252</v>
      </c>
      <c r="AI91" s="126">
        <f t="shared" si="65"/>
        <v>-34870.687500000007</v>
      </c>
      <c r="AJ91" s="126">
        <f t="shared" si="50"/>
        <v>0</v>
      </c>
      <c r="AK91" s="126">
        <f t="shared" si="51"/>
        <v>0</v>
      </c>
      <c r="AL91" s="126">
        <f t="shared" si="52"/>
        <v>-6443.2739382467507</v>
      </c>
      <c r="AM91" s="126">
        <f t="shared" si="79"/>
        <v>0</v>
      </c>
      <c r="AN91" s="126">
        <f t="shared" si="75"/>
        <v>0</v>
      </c>
      <c r="AO91" s="126">
        <f t="shared" si="53"/>
        <v>5148.1758766591538</v>
      </c>
      <c r="AP91" s="126">
        <f>(COUNTIF(AM91,0)*AP90)+((COUNTIF(AM91,"&gt;1")*AP90)-(AM91/6000))+(AO91/6000)</f>
        <v>13.323070696711378</v>
      </c>
      <c r="AQ91" s="126">
        <f t="shared" si="66"/>
        <v>53.722059260932973</v>
      </c>
      <c r="AR91" s="126">
        <f t="shared" si="73"/>
        <v>0</v>
      </c>
      <c r="AS91" s="122"/>
      <c r="AT91" s="122"/>
      <c r="AU91" s="122"/>
      <c r="AV91" s="128" t="s">
        <v>244</v>
      </c>
      <c r="AW91" s="126">
        <f>AW90/AX11</f>
        <v>6.2831853000000004</v>
      </c>
      <c r="AX91" s="122"/>
      <c r="AY91" s="122"/>
      <c r="AZ91" s="122"/>
      <c r="BA91" s="122"/>
      <c r="BB91" s="122"/>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c r="CB91" s="69"/>
      <c r="CC91" s="69"/>
      <c r="CD91" s="69"/>
      <c r="CE91" s="69"/>
      <c r="CF91" s="69"/>
      <c r="CG91" s="69"/>
      <c r="CH91" s="69"/>
      <c r="CI91" s="69"/>
      <c r="CJ91" s="69"/>
      <c r="CK91" s="69"/>
      <c r="CL91" s="69"/>
      <c r="CM91" s="69"/>
      <c r="CN91" s="69"/>
      <c r="CO91" s="69"/>
      <c r="CP91" s="69"/>
      <c r="CQ91" s="69"/>
      <c r="CR91" s="69"/>
      <c r="CS91" s="69"/>
      <c r="CT91" s="69"/>
      <c r="CU91" s="69"/>
      <c r="CV91" s="69"/>
      <c r="CW91" s="69"/>
    </row>
    <row r="92" spans="1:101" ht="19.5" x14ac:dyDescent="0.35">
      <c r="A92" s="122"/>
      <c r="B92" s="122"/>
      <c r="C92" s="122"/>
      <c r="D92" s="122"/>
      <c r="E92" s="122"/>
      <c r="F92" s="126" t="s">
        <v>80</v>
      </c>
      <c r="G92" s="126" t="s">
        <v>77</v>
      </c>
      <c r="H92" s="122"/>
      <c r="I92" s="122"/>
      <c r="J92" s="122"/>
      <c r="K92" s="38">
        <v>1</v>
      </c>
      <c r="L92" s="38">
        <v>7</v>
      </c>
      <c r="M92" s="103">
        <v>-3.33</v>
      </c>
      <c r="N92" s="38">
        <f t="shared" si="67"/>
        <v>-43.452730475631242</v>
      </c>
      <c r="O92" s="38">
        <f t="shared" si="74"/>
        <v>14.820000000000002</v>
      </c>
      <c r="P92" s="38">
        <f t="shared" si="54"/>
        <v>33.152340000000009</v>
      </c>
      <c r="Q92" s="38">
        <f t="shared" si="68"/>
        <v>14.820000000000002</v>
      </c>
      <c r="R92" s="93">
        <f t="shared" si="76"/>
        <v>107.87</v>
      </c>
      <c r="S92" s="103">
        <v>7.1272878819970913</v>
      </c>
      <c r="T92" s="97">
        <f t="shared" si="77"/>
        <v>1.8387777777777783</v>
      </c>
      <c r="U92" s="93">
        <f t="shared" si="78"/>
        <v>17.943633852948651</v>
      </c>
      <c r="V92" s="93">
        <f t="shared" si="55"/>
        <v>7.1272878819970913</v>
      </c>
      <c r="W92" s="38">
        <f t="shared" ref="W92:W155" si="80">$E$6*M92</f>
        <v>-2414.25</v>
      </c>
      <c r="X92" s="38">
        <f>0.5*$B$3*$E$14*$E$13*O92^2</f>
        <v>76.554630079200024</v>
      </c>
      <c r="Y92" s="38">
        <f t="shared" si="58"/>
        <v>568.98</v>
      </c>
      <c r="Z92" s="38">
        <f t="shared" si="59"/>
        <v>882.44583333333344</v>
      </c>
      <c r="AA92" s="38">
        <f t="shared" si="60"/>
        <v>-886.26953658746652</v>
      </c>
      <c r="AB92" s="38">
        <f t="shared" si="61"/>
        <v>-13134.514532226256</v>
      </c>
      <c r="AC92" s="38">
        <f t="shared" si="71"/>
        <v>160334.51453222625</v>
      </c>
      <c r="AD92" s="126">
        <f t="shared" si="62"/>
        <v>53.352000000000011</v>
      </c>
      <c r="AE92" s="126">
        <f t="shared" si="63"/>
        <v>0.10667600000000001</v>
      </c>
      <c r="AF92" s="126">
        <f t="shared" si="48"/>
        <v>45798.948983659429</v>
      </c>
      <c r="AG92" s="126">
        <f t="shared" si="49"/>
        <v>0</v>
      </c>
      <c r="AH92" s="126">
        <f t="shared" si="64"/>
        <v>22644.670467773751</v>
      </c>
      <c r="AI92" s="126">
        <f t="shared" si="65"/>
        <v>-35779.185000000005</v>
      </c>
      <c r="AJ92" s="126">
        <f t="shared" si="50"/>
        <v>0</v>
      </c>
      <c r="AK92" s="126">
        <f t="shared" si="51"/>
        <v>0</v>
      </c>
      <c r="AL92" s="126">
        <f t="shared" si="52"/>
        <v>-13134.514532226256</v>
      </c>
      <c r="AM92" s="126">
        <f t="shared" si="79"/>
        <v>0</v>
      </c>
      <c r="AN92" s="126">
        <f t="shared" si="75"/>
        <v>0</v>
      </c>
      <c r="AO92" s="126">
        <f t="shared" si="53"/>
        <v>10494.477111248778</v>
      </c>
      <c r="AP92" s="126">
        <f t="shared" si="72"/>
        <v>15.07215021525284</v>
      </c>
      <c r="AQ92" s="126">
        <f t="shared" si="66"/>
        <v>60.774799255051768</v>
      </c>
      <c r="AR92" s="126">
        <f t="shared" si="73"/>
        <v>0</v>
      </c>
      <c r="AS92" s="122"/>
      <c r="AT92" s="122"/>
      <c r="AU92" s="122"/>
      <c r="AV92" s="128" t="s">
        <v>241</v>
      </c>
      <c r="AW92" s="126">
        <f>(AW86/AW85)-AW87</f>
        <v>164.35106382978725</v>
      </c>
      <c r="AX92" s="122"/>
      <c r="AY92" s="122"/>
      <c r="AZ92" s="122"/>
      <c r="BA92" s="122"/>
      <c r="BB92" s="122"/>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c r="CB92" s="69"/>
      <c r="CC92" s="69"/>
      <c r="CD92" s="69"/>
      <c r="CE92" s="69"/>
      <c r="CF92" s="69"/>
      <c r="CG92" s="69"/>
      <c r="CH92" s="69"/>
      <c r="CI92" s="69"/>
      <c r="CJ92" s="69"/>
      <c r="CK92" s="69"/>
      <c r="CL92" s="69"/>
      <c r="CM92" s="69"/>
      <c r="CN92" s="69"/>
      <c r="CO92" s="69"/>
      <c r="CP92" s="69"/>
      <c r="CQ92" s="69"/>
      <c r="CR92" s="69"/>
      <c r="CS92" s="69"/>
      <c r="CT92" s="69"/>
      <c r="CU92" s="69"/>
      <c r="CV92" s="69"/>
      <c r="CW92" s="69"/>
    </row>
    <row r="93" spans="1:101" ht="19.5" x14ac:dyDescent="0.35">
      <c r="A93" s="122"/>
      <c r="B93" s="122"/>
      <c r="C93" s="122"/>
      <c r="D93" s="122"/>
      <c r="E93" s="122"/>
      <c r="F93" s="126" t="s">
        <v>81</v>
      </c>
      <c r="G93" s="126" t="s">
        <v>78</v>
      </c>
      <c r="H93" s="122"/>
      <c r="I93" s="122"/>
      <c r="J93" s="122"/>
      <c r="K93" s="38">
        <v>1</v>
      </c>
      <c r="L93" s="98">
        <v>8</v>
      </c>
      <c r="M93" s="103">
        <v>-2.72</v>
      </c>
      <c r="N93" s="38">
        <f t="shared" si="67"/>
        <v>-35.492920989104199</v>
      </c>
      <c r="O93" s="38">
        <f t="shared" si="74"/>
        <v>12.100000000000001</v>
      </c>
      <c r="P93" s="38">
        <f t="shared" si="54"/>
        <v>27.067700000000006</v>
      </c>
      <c r="Q93" s="38">
        <f t="shared" si="68"/>
        <v>12.100000000000001</v>
      </c>
      <c r="R93" s="100">
        <f t="shared" si="76"/>
        <v>119.97</v>
      </c>
      <c r="S93" s="103">
        <v>4.1706479118615389</v>
      </c>
      <c r="T93" s="97">
        <f t="shared" si="77"/>
        <v>0.88000000000000012</v>
      </c>
      <c r="U93" s="100">
        <f t="shared" si="78"/>
        <v>18.82363385294865</v>
      </c>
      <c r="V93" s="93">
        <f>DEGREES(ASIN(T93/Q93))</f>
        <v>4.1706479118615389</v>
      </c>
      <c r="W93" s="38">
        <f t="shared" si="80"/>
        <v>-1972.0000000000002</v>
      </c>
      <c r="X93" s="38">
        <f t="shared" ref="X93:X155" si="81">0.5*$B$3*$E$14*$E$13*O93^2</f>
        <v>51.032376780000007</v>
      </c>
      <c r="Y93" s="38">
        <f t="shared" si="58"/>
        <v>568.98</v>
      </c>
      <c r="Z93" s="38">
        <f t="shared" si="59"/>
        <v>517.25454545454545</v>
      </c>
      <c r="AA93" s="38">
        <f t="shared" si="60"/>
        <v>-834.73307776545471</v>
      </c>
      <c r="AB93" s="38">
        <f t="shared" si="61"/>
        <v>-10100.270240962003</v>
      </c>
      <c r="AC93" s="38">
        <f t="shared" si="71"/>
        <v>157300.27024096201</v>
      </c>
      <c r="AD93" s="126">
        <f t="shared" si="62"/>
        <v>43.560000000000009</v>
      </c>
      <c r="AE93" s="126">
        <f t="shared" si="63"/>
        <v>0.10178000000000001</v>
      </c>
      <c r="AF93" s="126">
        <f t="shared" si="48"/>
        <v>29585.255598979653</v>
      </c>
      <c r="AG93" s="126">
        <f t="shared" si="49"/>
        <v>0</v>
      </c>
      <c r="AH93" s="126">
        <f t="shared" si="64"/>
        <v>13760.929759038003</v>
      </c>
      <c r="AI93" s="126">
        <f t="shared" si="65"/>
        <v>-23861.200000000004</v>
      </c>
      <c r="AJ93" s="126">
        <f t="shared" si="50"/>
        <v>0</v>
      </c>
      <c r="AK93" s="126">
        <f t="shared" si="51"/>
        <v>0</v>
      </c>
      <c r="AL93" s="126">
        <f t="shared" si="52"/>
        <v>-10100.270240962003</v>
      </c>
      <c r="AM93" s="126">
        <f t="shared" si="79"/>
        <v>0</v>
      </c>
      <c r="AN93" s="126">
        <f t="shared" si="75"/>
        <v>0</v>
      </c>
      <c r="AO93" s="126">
        <f t="shared" si="53"/>
        <v>8070.1159225286401</v>
      </c>
      <c r="AP93" s="126">
        <f t="shared" si="72"/>
        <v>16.41716953567428</v>
      </c>
      <c r="AQ93" s="126">
        <f t="shared" si="66"/>
        <v>66.198264256751131</v>
      </c>
      <c r="AR93" s="126">
        <f t="shared" si="73"/>
        <v>0</v>
      </c>
      <c r="AS93" s="122"/>
      <c r="AT93" s="122"/>
      <c r="AU93" s="122"/>
      <c r="AV93" s="128" t="s">
        <v>245</v>
      </c>
      <c r="AW93" s="126">
        <f>AW85*AW84*BA15*AW83</f>
        <v>0.61363199999999996</v>
      </c>
      <c r="AX93" s="122"/>
      <c r="AY93" s="122"/>
      <c r="AZ93" s="122"/>
      <c r="BA93" s="122"/>
      <c r="BB93" s="122"/>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c r="CB93" s="69"/>
      <c r="CC93" s="69"/>
      <c r="CD93" s="69"/>
      <c r="CE93" s="69"/>
      <c r="CF93" s="69"/>
      <c r="CG93" s="69"/>
      <c r="CH93" s="69"/>
      <c r="CI93" s="69"/>
      <c r="CJ93" s="69"/>
      <c r="CK93" s="69"/>
      <c r="CL93" s="69"/>
      <c r="CM93" s="69"/>
      <c r="CN93" s="69"/>
      <c r="CO93" s="69"/>
      <c r="CP93" s="69"/>
      <c r="CQ93" s="69"/>
      <c r="CR93" s="69"/>
      <c r="CS93" s="69"/>
      <c r="CT93" s="69"/>
      <c r="CU93" s="69"/>
      <c r="CV93" s="69"/>
      <c r="CW93" s="69"/>
    </row>
    <row r="94" spans="1:101" ht="19.5" x14ac:dyDescent="0.35">
      <c r="A94" s="122"/>
      <c r="B94" s="122"/>
      <c r="C94" s="122"/>
      <c r="D94" s="122"/>
      <c r="E94" s="122"/>
      <c r="F94" s="126" t="s">
        <v>82</v>
      </c>
      <c r="G94" s="126" t="s">
        <v>85</v>
      </c>
      <c r="H94" s="122"/>
      <c r="I94" s="122"/>
      <c r="J94" s="122"/>
      <c r="K94" s="38">
        <v>1</v>
      </c>
      <c r="L94" s="38">
        <v>9</v>
      </c>
      <c r="M94" s="103">
        <v>-0.9</v>
      </c>
      <c r="N94" s="38">
        <f t="shared" si="67"/>
        <v>-11.743981209630066</v>
      </c>
      <c r="O94" s="38">
        <f t="shared" si="74"/>
        <v>11.200000000000001</v>
      </c>
      <c r="P94" s="38">
        <f t="shared" si="54"/>
        <v>25.054400000000005</v>
      </c>
      <c r="Q94" s="38">
        <f t="shared" si="68"/>
        <v>11.200000000000001</v>
      </c>
      <c r="R94" s="93">
        <f t="shared" si="76"/>
        <v>131.16999999999999</v>
      </c>
      <c r="S94" s="103">
        <v>4.1706479118615389</v>
      </c>
      <c r="T94" s="97">
        <f t="shared" si="77"/>
        <v>0.81454545454545457</v>
      </c>
      <c r="U94" s="93">
        <f t="shared" si="78"/>
        <v>19.638179307494106</v>
      </c>
      <c r="V94" s="93">
        <f t="shared" si="55"/>
        <v>4.1706479118615389</v>
      </c>
      <c r="W94" s="38">
        <f t="shared" si="80"/>
        <v>-652.5</v>
      </c>
      <c r="X94" s="38">
        <f t="shared" si="81"/>
        <v>43.723115520000007</v>
      </c>
      <c r="Y94" s="38">
        <f t="shared" si="58"/>
        <v>568.98</v>
      </c>
      <c r="Z94" s="38">
        <f t="shared" si="59"/>
        <v>517.25454545454545</v>
      </c>
      <c r="AA94" s="38">
        <f t="shared" si="60"/>
        <v>477.45766097454543</v>
      </c>
      <c r="AB94" s="38">
        <f t="shared" si="61"/>
        <v>5347.525802914909</v>
      </c>
      <c r="AC94" s="38">
        <f t="shared" si="71"/>
        <v>141852.4741970851</v>
      </c>
      <c r="AD94" s="126">
        <f t="shared" si="62"/>
        <v>40.320000000000007</v>
      </c>
      <c r="AE94" s="126">
        <f t="shared" si="63"/>
        <v>0.10016</v>
      </c>
      <c r="AF94" s="126">
        <f t="shared" si="48"/>
        <v>25284.291158028173</v>
      </c>
      <c r="AG94" s="126">
        <f t="shared" si="49"/>
        <v>5347.525802914909</v>
      </c>
      <c r="AH94" s="126">
        <f t="shared" si="64"/>
        <v>12655.52580291491</v>
      </c>
      <c r="AI94" s="126">
        <f t="shared" si="65"/>
        <v>-7308.0000000000009</v>
      </c>
      <c r="AJ94" s="126">
        <f t="shared" si="50"/>
        <v>0</v>
      </c>
      <c r="AK94" s="126">
        <f t="shared" si="51"/>
        <v>0</v>
      </c>
      <c r="AL94" s="126">
        <f t="shared" si="52"/>
        <v>5347.525802914909</v>
      </c>
      <c r="AM94" s="126">
        <f t="shared" si="79"/>
        <v>6692.7732201688477</v>
      </c>
      <c r="AN94" s="126">
        <f t="shared" si="75"/>
        <v>5347.525802914909</v>
      </c>
      <c r="AO94" s="126">
        <f t="shared" si="53"/>
        <v>0</v>
      </c>
      <c r="AP94" s="126">
        <f>(COUNTIF(AM94,0)*AP93)+((COUNTIF(AM94,"&gt;1")*AP93)-(AM94/6000))+(AO94/6000)</f>
        <v>15.301707332312805</v>
      </c>
      <c r="AQ94" s="126">
        <f t="shared" si="66"/>
        <v>61.700432791583893</v>
      </c>
      <c r="AR94" s="126">
        <f t="shared" si="73"/>
        <v>0</v>
      </c>
      <c r="AS94" s="122"/>
      <c r="AT94" s="122"/>
      <c r="AU94" s="122"/>
      <c r="AV94" s="128" t="s">
        <v>246</v>
      </c>
      <c r="AW94" s="126">
        <f>AW85*AW84</f>
        <v>0.79899999999999993</v>
      </c>
      <c r="AX94" s="122"/>
      <c r="AY94" s="122"/>
      <c r="AZ94" s="122"/>
      <c r="BA94" s="122"/>
      <c r="BB94" s="122"/>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c r="CB94" s="69"/>
      <c r="CC94" s="69"/>
      <c r="CD94" s="69"/>
      <c r="CE94" s="69"/>
      <c r="CF94" s="69"/>
      <c r="CG94" s="69"/>
      <c r="CH94" s="69"/>
      <c r="CI94" s="69"/>
      <c r="CJ94" s="69"/>
      <c r="CK94" s="69"/>
      <c r="CL94" s="69"/>
      <c r="CM94" s="69"/>
      <c r="CN94" s="69"/>
      <c r="CO94" s="69"/>
      <c r="CP94" s="69"/>
      <c r="CQ94" s="69"/>
      <c r="CR94" s="69"/>
      <c r="CS94" s="69"/>
      <c r="CT94" s="69"/>
      <c r="CU94" s="69"/>
      <c r="CV94" s="69"/>
      <c r="CW94" s="69"/>
    </row>
    <row r="95" spans="1:101" ht="19.5" x14ac:dyDescent="0.35">
      <c r="A95" s="122"/>
      <c r="B95" s="122"/>
      <c r="C95" s="122"/>
      <c r="D95" s="122"/>
      <c r="E95" s="122"/>
      <c r="F95" s="126" t="s">
        <v>83</v>
      </c>
      <c r="G95" s="126" t="s">
        <v>84</v>
      </c>
      <c r="H95" s="122"/>
      <c r="I95" s="122"/>
      <c r="J95" s="122"/>
      <c r="K95" s="38">
        <v>1</v>
      </c>
      <c r="L95" s="38">
        <v>10</v>
      </c>
      <c r="M95" s="103">
        <v>-0.64</v>
      </c>
      <c r="N95" s="38">
        <f t="shared" si="67"/>
        <v>-8.3512755268480472</v>
      </c>
      <c r="O95" s="38">
        <f t="shared" si="74"/>
        <v>10.56</v>
      </c>
      <c r="P95" s="38">
        <f t="shared" si="54"/>
        <v>23.622720000000001</v>
      </c>
      <c r="Q95" s="38">
        <f t="shared" si="68"/>
        <v>10.56</v>
      </c>
      <c r="R95" s="93">
        <f t="shared" si="76"/>
        <v>141.72999999999999</v>
      </c>
      <c r="S95" s="103">
        <v>4.1706479118615389</v>
      </c>
      <c r="T95" s="97">
        <f t="shared" si="77"/>
        <v>0.76800000000000002</v>
      </c>
      <c r="U95" s="93">
        <f t="shared" si="78"/>
        <v>20.406179307494106</v>
      </c>
      <c r="V95" s="93">
        <f t="shared" si="55"/>
        <v>4.1706479118615389</v>
      </c>
      <c r="W95" s="38">
        <f t="shared" si="80"/>
        <v>-464</v>
      </c>
      <c r="X95" s="38">
        <f t="shared" si="81"/>
        <v>38.868957388799998</v>
      </c>
      <c r="Y95" s="38">
        <f t="shared" si="58"/>
        <v>568.98</v>
      </c>
      <c r="Z95" s="38">
        <f t="shared" si="59"/>
        <v>517.25454545454545</v>
      </c>
      <c r="AA95" s="38">
        <f t="shared" si="60"/>
        <v>661.1035028433455</v>
      </c>
      <c r="AB95" s="38">
        <f t="shared" si="61"/>
        <v>6981.2529900257286</v>
      </c>
      <c r="AC95" s="38">
        <f t="shared" si="71"/>
        <v>140218.74700997426</v>
      </c>
      <c r="AD95" s="126">
        <f t="shared" si="62"/>
        <v>38.016000000000005</v>
      </c>
      <c r="AE95" s="126">
        <f t="shared" si="63"/>
        <v>9.9007999999999999E-2</v>
      </c>
      <c r="AF95" s="126">
        <f t="shared" si="48"/>
        <v>22514.186254806806</v>
      </c>
      <c r="AG95" s="126">
        <f t="shared" si="49"/>
        <v>6981.2529900257286</v>
      </c>
      <c r="AH95" s="126">
        <f t="shared" si="64"/>
        <v>11881.092990025729</v>
      </c>
      <c r="AI95" s="126">
        <f t="shared" si="65"/>
        <v>-4899.84</v>
      </c>
      <c r="AJ95" s="126">
        <f t="shared" si="50"/>
        <v>0</v>
      </c>
      <c r="AK95" s="126">
        <f t="shared" si="51"/>
        <v>0</v>
      </c>
      <c r="AL95" s="126">
        <f t="shared" si="52"/>
        <v>6981.2529900257286</v>
      </c>
      <c r="AM95" s="126">
        <f t="shared" si="79"/>
        <v>8737.4880976542299</v>
      </c>
      <c r="AN95" s="126">
        <f t="shared" si="75"/>
        <v>6981.2529900257286</v>
      </c>
      <c r="AO95" s="126">
        <f t="shared" si="53"/>
        <v>0</v>
      </c>
      <c r="AP95" s="126">
        <f t="shared" si="72"/>
        <v>13.8454593160371</v>
      </c>
      <c r="AQ95" s="126">
        <f t="shared" si="66"/>
        <v>55.828464984020563</v>
      </c>
      <c r="AR95" s="126">
        <f t="shared" si="73"/>
        <v>0</v>
      </c>
      <c r="AS95" s="122"/>
      <c r="AT95" s="122"/>
      <c r="AU95" s="122"/>
      <c r="AV95" s="128" t="s">
        <v>251</v>
      </c>
      <c r="AW95" s="126">
        <v>12.4</v>
      </c>
      <c r="AX95" s="122"/>
      <c r="AY95" s="122"/>
      <c r="AZ95" s="122"/>
      <c r="BA95" s="122"/>
      <c r="BB95" s="122"/>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c r="CB95" s="69"/>
      <c r="CC95" s="69"/>
      <c r="CD95" s="69"/>
      <c r="CE95" s="69"/>
      <c r="CF95" s="69"/>
      <c r="CG95" s="69"/>
      <c r="CH95" s="69"/>
      <c r="CI95" s="69"/>
      <c r="CJ95" s="69"/>
      <c r="CK95" s="69"/>
      <c r="CL95" s="69"/>
      <c r="CM95" s="69"/>
      <c r="CN95" s="69"/>
      <c r="CO95" s="69"/>
      <c r="CP95" s="69"/>
      <c r="CQ95" s="69"/>
      <c r="CR95" s="69"/>
      <c r="CS95" s="69"/>
      <c r="CT95" s="69"/>
      <c r="CU95" s="69"/>
      <c r="CV95" s="69"/>
      <c r="CW95" s="69"/>
    </row>
    <row r="96" spans="1:101" ht="19.5" x14ac:dyDescent="0.35">
      <c r="A96" s="122"/>
      <c r="B96" s="122"/>
      <c r="C96" s="122"/>
      <c r="D96" s="122"/>
      <c r="E96" s="122"/>
      <c r="F96" s="126" t="s">
        <v>149</v>
      </c>
      <c r="G96" s="159">
        <v>1.6597999999999999</v>
      </c>
      <c r="H96" s="122"/>
      <c r="I96" s="122"/>
      <c r="J96" s="122"/>
      <c r="K96" s="38">
        <v>1</v>
      </c>
      <c r="L96" s="38">
        <v>11</v>
      </c>
      <c r="M96" s="103">
        <v>-0.34</v>
      </c>
      <c r="N96" s="38">
        <f t="shared" si="67"/>
        <v>-4.4366151236380249</v>
      </c>
      <c r="O96" s="38">
        <f t="shared" si="74"/>
        <v>10.220000000000001</v>
      </c>
      <c r="P96" s="38">
        <f t="shared" si="54"/>
        <v>22.862140000000004</v>
      </c>
      <c r="Q96" s="38">
        <f t="shared" si="68"/>
        <v>10.220000000000001</v>
      </c>
      <c r="R96" s="93">
        <f t="shared" si="76"/>
        <v>151.94999999999999</v>
      </c>
      <c r="S96" s="103">
        <v>4.1706479118615389</v>
      </c>
      <c r="T96" s="97">
        <f t="shared" si="77"/>
        <v>0.74327272727272731</v>
      </c>
      <c r="U96" s="93">
        <f t="shared" si="78"/>
        <v>21.149452034766835</v>
      </c>
      <c r="V96" s="93">
        <f t="shared" si="55"/>
        <v>4.1706479118615389</v>
      </c>
      <c r="W96" s="38">
        <f t="shared" si="80"/>
        <v>-246.50000000000003</v>
      </c>
      <c r="X96" s="38">
        <f t="shared" si="81"/>
        <v>36.406325407200001</v>
      </c>
      <c r="Y96" s="38">
        <f t="shared" si="58"/>
        <v>568.98</v>
      </c>
      <c r="Z96" s="38">
        <f t="shared" si="59"/>
        <v>517.25454545454545</v>
      </c>
      <c r="AA96" s="38">
        <f t="shared" si="60"/>
        <v>876.1408708617455</v>
      </c>
      <c r="AB96" s="38">
        <f t="shared" si="61"/>
        <v>8954.1597002070394</v>
      </c>
      <c r="AC96" s="38">
        <f t="shared" si="71"/>
        <v>138245.84029979297</v>
      </c>
      <c r="AD96" s="126">
        <f t="shared" si="62"/>
        <v>36.792000000000002</v>
      </c>
      <c r="AE96" s="126">
        <f t="shared" si="63"/>
        <v>9.8396000000000011E-2</v>
      </c>
      <c r="AF96" s="126">
        <f t="shared" si="48"/>
        <v>21135.058332283086</v>
      </c>
      <c r="AG96" s="126">
        <f t="shared" si="49"/>
        <v>8954.1597002070394</v>
      </c>
      <c r="AH96" s="126">
        <f t="shared" si="64"/>
        <v>11473.389700207039</v>
      </c>
      <c r="AI96" s="126">
        <f t="shared" si="65"/>
        <v>-2519.2300000000005</v>
      </c>
      <c r="AJ96" s="126">
        <f t="shared" si="50"/>
        <v>1</v>
      </c>
      <c r="AK96" s="126">
        <f t="shared" si="51"/>
        <v>34000</v>
      </c>
      <c r="AL96" s="126">
        <f t="shared" si="52"/>
        <v>-25045.840299792959</v>
      </c>
      <c r="AM96" s="126">
        <f t="shared" si="79"/>
        <v>0</v>
      </c>
      <c r="AN96" s="126">
        <f t="shared" si="75"/>
        <v>0</v>
      </c>
      <c r="AO96" s="126">
        <f t="shared" si="53"/>
        <v>20011.626399534573</v>
      </c>
      <c r="AP96" s="126">
        <f t="shared" si="72"/>
        <v>17.180730382626194</v>
      </c>
      <c r="AQ96" s="126">
        <f t="shared" si="66"/>
        <v>69.277138639621754</v>
      </c>
      <c r="AR96" s="126">
        <f t="shared" si="73"/>
        <v>0</v>
      </c>
      <c r="AS96" s="122"/>
      <c r="AT96" s="122"/>
      <c r="AU96" s="122"/>
      <c r="AV96" s="128" t="s">
        <v>252</v>
      </c>
      <c r="AW96" s="126">
        <v>2</v>
      </c>
      <c r="AX96" s="122"/>
      <c r="AY96" s="122"/>
      <c r="AZ96" s="122"/>
      <c r="BA96" s="122"/>
      <c r="BB96" s="122"/>
      <c r="BC96" s="69"/>
      <c r="BD96" s="69"/>
      <c r="BE96" s="69"/>
      <c r="BF96" s="69"/>
      <c r="BG96" s="69"/>
      <c r="BH96" s="69"/>
      <c r="BI96" s="69"/>
      <c r="BJ96" s="69"/>
      <c r="BK96" s="69"/>
      <c r="BL96" s="69"/>
      <c r="BM96" s="69"/>
      <c r="BN96" s="69"/>
      <c r="BO96" s="69"/>
      <c r="BP96" s="69"/>
      <c r="BQ96" s="69"/>
      <c r="BR96" s="69"/>
      <c r="BS96" s="69"/>
      <c r="BT96" s="69"/>
      <c r="BU96" s="69"/>
      <c r="BV96" s="69"/>
      <c r="BW96" s="69"/>
      <c r="BX96" s="69"/>
      <c r="BY96" s="69"/>
      <c r="BZ96" s="69"/>
      <c r="CA96" s="69"/>
      <c r="CB96" s="69"/>
      <c r="CC96" s="69"/>
      <c r="CD96" s="69"/>
      <c r="CE96" s="69"/>
      <c r="CF96" s="69"/>
      <c r="CG96" s="69"/>
      <c r="CH96" s="69"/>
      <c r="CI96" s="69"/>
      <c r="CJ96" s="69"/>
      <c r="CK96" s="69"/>
      <c r="CL96" s="69"/>
      <c r="CM96" s="69"/>
      <c r="CN96" s="69"/>
      <c r="CO96" s="69"/>
      <c r="CP96" s="69"/>
      <c r="CQ96" s="69"/>
      <c r="CR96" s="69"/>
      <c r="CS96" s="69"/>
      <c r="CT96" s="69"/>
      <c r="CU96" s="69"/>
      <c r="CV96" s="69"/>
      <c r="CW96" s="69"/>
    </row>
    <row r="97" spans="1:101" ht="19.5" x14ac:dyDescent="0.35">
      <c r="A97" s="122"/>
      <c r="B97" s="122"/>
      <c r="C97" s="122"/>
      <c r="D97" s="122"/>
      <c r="E97" s="122"/>
      <c r="F97" s="126" t="s">
        <v>90</v>
      </c>
      <c r="G97" s="160">
        <v>0.35</v>
      </c>
      <c r="H97" s="122"/>
      <c r="I97" s="122"/>
      <c r="J97" s="122"/>
      <c r="K97" s="38">
        <v>1</v>
      </c>
      <c r="L97" s="98">
        <v>12</v>
      </c>
      <c r="M97" s="103">
        <v>-0.33</v>
      </c>
      <c r="N97" s="38">
        <f t="shared" si="67"/>
        <v>-4.3061264435310243</v>
      </c>
      <c r="O97" s="38">
        <f t="shared" si="74"/>
        <v>9.89</v>
      </c>
      <c r="P97" s="38">
        <f t="shared" si="54"/>
        <v>22.123930000000001</v>
      </c>
      <c r="Q97" s="38">
        <f t="shared" si="68"/>
        <v>9.89</v>
      </c>
      <c r="R97" s="100">
        <f>Q97+R96</f>
        <v>161.83999999999997</v>
      </c>
      <c r="S97" s="103">
        <v>-3.9592874494513626</v>
      </c>
      <c r="T97" s="97">
        <f t="shared" si="77"/>
        <v>-0.68288095238095248</v>
      </c>
      <c r="U97" s="100">
        <f t="shared" si="78"/>
        <v>20.466571082385883</v>
      </c>
      <c r="V97" s="93">
        <f t="shared" si="55"/>
        <v>-3.9592874494513626</v>
      </c>
      <c r="W97" s="38">
        <f t="shared" si="80"/>
        <v>-239.25</v>
      </c>
      <c r="X97" s="38">
        <f t="shared" si="81"/>
        <v>34.093189951800007</v>
      </c>
      <c r="Y97" s="38">
        <f t="shared" si="58"/>
        <v>568.98</v>
      </c>
      <c r="Z97" s="38">
        <f t="shared" si="59"/>
        <v>-491.0839285714286</v>
      </c>
      <c r="AA97" s="38">
        <f t="shared" si="60"/>
        <v>-127.26073861962857</v>
      </c>
      <c r="AB97" s="38">
        <f t="shared" si="61"/>
        <v>-1258.6087049481266</v>
      </c>
      <c r="AC97" s="38">
        <f t="shared" si="71"/>
        <v>148458.60870494813</v>
      </c>
      <c r="AD97" s="126">
        <f t="shared" si="62"/>
        <v>35.604000000000006</v>
      </c>
      <c r="AE97" s="126">
        <f t="shared" si="63"/>
        <v>9.7802000000000014E-2</v>
      </c>
      <c r="AF97" s="126">
        <f t="shared" si="48"/>
        <v>19855.556975408592</v>
      </c>
      <c r="AG97" s="126">
        <f t="shared" si="49"/>
        <v>0</v>
      </c>
      <c r="AH97" s="126">
        <f t="shared" si="64"/>
        <v>5964.3938486233028</v>
      </c>
      <c r="AI97" s="126">
        <f t="shared" si="65"/>
        <v>-7223.0025535714294</v>
      </c>
      <c r="AJ97" s="126">
        <f t="shared" si="50"/>
        <v>0</v>
      </c>
      <c r="AK97" s="126">
        <f t="shared" si="51"/>
        <v>0</v>
      </c>
      <c r="AL97" s="126">
        <f t="shared" si="52"/>
        <v>-1258.6087049481266</v>
      </c>
      <c r="AM97" s="126">
        <f t="shared" si="79"/>
        <v>0</v>
      </c>
      <c r="AN97" s="126">
        <f t="shared" si="75"/>
        <v>0</v>
      </c>
      <c r="AO97" s="126">
        <f t="shared" si="53"/>
        <v>1005.6283552535531</v>
      </c>
      <c r="AP97" s="126">
        <f>(COUNTIF(AM97,0)*AP96)+((COUNTIF(AM97,"&gt;1")*AP96)-(AM97/6000))+(AO97/6000)</f>
        <v>17.348335108501786</v>
      </c>
      <c r="AQ97" s="126">
        <f t="shared" si="66"/>
        <v>69.952964147184616</v>
      </c>
      <c r="AR97" s="126">
        <f t="shared" si="73"/>
        <v>0</v>
      </c>
      <c r="AS97" s="122"/>
      <c r="AT97" s="122"/>
      <c r="AU97" s="122"/>
      <c r="AV97" s="128" t="s">
        <v>253</v>
      </c>
      <c r="AW97" s="126">
        <f>AW95*AW96</f>
        <v>24.8</v>
      </c>
      <c r="AX97" s="122"/>
      <c r="AY97" s="122"/>
      <c r="AZ97" s="122"/>
      <c r="BA97" s="122"/>
      <c r="BB97" s="122"/>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c r="CA97" s="69"/>
      <c r="CB97" s="69"/>
      <c r="CC97" s="69"/>
      <c r="CD97" s="69"/>
      <c r="CE97" s="69"/>
      <c r="CF97" s="69"/>
      <c r="CG97" s="69"/>
      <c r="CH97" s="69"/>
      <c r="CI97" s="69"/>
      <c r="CJ97" s="69"/>
      <c r="CK97" s="69"/>
      <c r="CL97" s="69"/>
      <c r="CM97" s="69"/>
      <c r="CN97" s="69"/>
      <c r="CO97" s="69"/>
      <c r="CP97" s="69"/>
      <c r="CQ97" s="69"/>
      <c r="CR97" s="69"/>
      <c r="CS97" s="69"/>
      <c r="CT97" s="69"/>
      <c r="CU97" s="69"/>
      <c r="CV97" s="69"/>
      <c r="CW97" s="69"/>
    </row>
    <row r="98" spans="1:101" ht="19.5" x14ac:dyDescent="0.35">
      <c r="A98" s="122"/>
      <c r="B98" s="122"/>
      <c r="C98" s="122"/>
      <c r="D98" s="122"/>
      <c r="E98" s="122"/>
      <c r="F98" s="126" t="s">
        <v>125</v>
      </c>
      <c r="G98" s="126" t="s">
        <v>126</v>
      </c>
      <c r="H98" s="122"/>
      <c r="I98" s="122"/>
      <c r="J98" s="122"/>
      <c r="K98" s="38">
        <v>1</v>
      </c>
      <c r="L98" s="38">
        <v>13</v>
      </c>
      <c r="M98" s="103">
        <v>-2.5</v>
      </c>
      <c r="N98" s="38">
        <f t="shared" si="67"/>
        <v>-32.622170026750183</v>
      </c>
      <c r="O98" s="38">
        <f t="shared" si="74"/>
        <v>7.3900000000000006</v>
      </c>
      <c r="P98" s="38">
        <f t="shared" si="54"/>
        <v>16.53143</v>
      </c>
      <c r="Q98" s="38">
        <f t="shared" si="68"/>
        <v>7.3900000000000006</v>
      </c>
      <c r="R98" s="93">
        <f t="shared" ref="R98:R101" si="82">Q98+R97</f>
        <v>169.22999999999996</v>
      </c>
      <c r="S98" s="103">
        <v>-3.9592874494513626</v>
      </c>
      <c r="T98" s="97">
        <f t="shared" si="77"/>
        <v>-0.51026190476190481</v>
      </c>
      <c r="U98" s="93">
        <f>U97+T98</f>
        <v>19.956309177623979</v>
      </c>
      <c r="V98" s="93">
        <f t="shared" si="55"/>
        <v>-3.9592874494513626</v>
      </c>
      <c r="W98" s="38">
        <f t="shared" si="80"/>
        <v>-1812.5</v>
      </c>
      <c r="X98" s="38">
        <f t="shared" si="81"/>
        <v>19.035484351800001</v>
      </c>
      <c r="Y98" s="38">
        <f t="shared" si="58"/>
        <v>568.98</v>
      </c>
      <c r="Z98" s="38">
        <f t="shared" si="59"/>
        <v>-491.0839285714286</v>
      </c>
      <c r="AA98" s="38">
        <f t="shared" si="60"/>
        <v>-1715.5684442196284</v>
      </c>
      <c r="AB98" s="38">
        <f t="shared" si="61"/>
        <v>-12678.050802783055</v>
      </c>
      <c r="AC98" s="38">
        <f t="shared" si="71"/>
        <v>159878.05080278305</v>
      </c>
      <c r="AD98" s="126">
        <f t="shared" si="62"/>
        <v>26.604000000000003</v>
      </c>
      <c r="AE98" s="126">
        <f t="shared" si="63"/>
        <v>9.3301999999999996E-2</v>
      </c>
      <c r="AF98" s="126">
        <f t="shared" si="48"/>
        <v>11873.535938227566</v>
      </c>
      <c r="AG98" s="126">
        <f t="shared" si="49"/>
        <v>0</v>
      </c>
      <c r="AH98" s="126">
        <f t="shared" si="64"/>
        <v>4345.4344293598033</v>
      </c>
      <c r="AI98" s="126">
        <f t="shared" si="65"/>
        <v>-17023.485232142859</v>
      </c>
      <c r="AJ98" s="126">
        <f t="shared" si="50"/>
        <v>0</v>
      </c>
      <c r="AK98" s="126">
        <f t="shared" si="51"/>
        <v>0</v>
      </c>
      <c r="AL98" s="126">
        <f t="shared" si="52"/>
        <v>-12678.050802783055</v>
      </c>
      <c r="AM98" s="126">
        <f t="shared" si="79"/>
        <v>0</v>
      </c>
      <c r="AN98" s="126">
        <f t="shared" si="75"/>
        <v>0</v>
      </c>
      <c r="AO98" s="126">
        <f t="shared" si="53"/>
        <v>10129.76259142366</v>
      </c>
      <c r="AP98" s="126">
        <f t="shared" si="72"/>
        <v>19.036628873739062</v>
      </c>
      <c r="AQ98" s="126">
        <f t="shared" si="66"/>
        <v>76.760600297334918</v>
      </c>
      <c r="AR98" s="126">
        <f t="shared" si="73"/>
        <v>0</v>
      </c>
      <c r="AS98" s="122"/>
      <c r="AT98" s="122"/>
      <c r="AU98" s="122"/>
      <c r="AV98" s="128" t="s">
        <v>298</v>
      </c>
      <c r="AW98" s="126">
        <v>34000</v>
      </c>
      <c r="AX98" s="122"/>
      <c r="AY98" s="122"/>
      <c r="AZ98" s="122"/>
      <c r="BA98" s="122"/>
      <c r="BB98" s="122"/>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c r="CA98" s="69"/>
      <c r="CB98" s="69"/>
      <c r="CC98" s="69"/>
      <c r="CD98" s="69"/>
      <c r="CE98" s="69"/>
      <c r="CF98" s="69"/>
      <c r="CG98" s="69"/>
      <c r="CH98" s="69"/>
      <c r="CI98" s="69"/>
      <c r="CJ98" s="69"/>
      <c r="CK98" s="69"/>
      <c r="CL98" s="69"/>
      <c r="CM98" s="69"/>
      <c r="CN98" s="69"/>
      <c r="CO98" s="69"/>
      <c r="CP98" s="69"/>
      <c r="CQ98" s="69"/>
      <c r="CR98" s="69"/>
      <c r="CS98" s="69"/>
      <c r="CT98" s="69"/>
      <c r="CU98" s="69"/>
      <c r="CV98" s="69"/>
      <c r="CW98" s="69"/>
    </row>
    <row r="99" spans="1:101" ht="19.5" x14ac:dyDescent="0.35">
      <c r="A99" s="122"/>
      <c r="B99" s="122"/>
      <c r="C99" s="122"/>
      <c r="D99" s="122"/>
      <c r="E99" s="122"/>
      <c r="F99" s="126" t="s">
        <v>127</v>
      </c>
      <c r="G99" s="126" t="s">
        <v>128</v>
      </c>
      <c r="H99" s="122"/>
      <c r="I99" s="122"/>
      <c r="J99" s="122"/>
      <c r="K99" s="38">
        <v>1</v>
      </c>
      <c r="L99" s="38">
        <v>14</v>
      </c>
      <c r="M99" s="103">
        <v>-2.9</v>
      </c>
      <c r="N99" s="38">
        <f t="shared" si="67"/>
        <v>-37.841717231030209</v>
      </c>
      <c r="O99" s="38">
        <f t="shared" si="74"/>
        <v>4.49</v>
      </c>
      <c r="P99" s="38">
        <f t="shared" si="54"/>
        <v>10.044130000000001</v>
      </c>
      <c r="Q99" s="38">
        <f t="shared" si="68"/>
        <v>4.49</v>
      </c>
      <c r="R99" s="93">
        <f t="shared" si="82"/>
        <v>173.71999999999997</v>
      </c>
      <c r="S99" s="103">
        <v>-3.9592874494513626</v>
      </c>
      <c r="T99" s="97">
        <f t="shared" si="77"/>
        <v>-0.31002380952380953</v>
      </c>
      <c r="U99" s="93">
        <f t="shared" ref="U99:U105" si="83">U98+T99</f>
        <v>19.64628536810017</v>
      </c>
      <c r="V99" s="93">
        <f t="shared" si="55"/>
        <v>-3.9592874494513626</v>
      </c>
      <c r="W99" s="38">
        <f t="shared" si="80"/>
        <v>-2102.5</v>
      </c>
      <c r="X99" s="38">
        <f t="shared" si="81"/>
        <v>7.026964135800001</v>
      </c>
      <c r="Y99" s="38">
        <f t="shared" si="58"/>
        <v>568.98</v>
      </c>
      <c r="Z99" s="38">
        <f t="shared" si="59"/>
        <v>-491.0839285714286</v>
      </c>
      <c r="AA99" s="38">
        <f t="shared" si="60"/>
        <v>-2017.5769644356287</v>
      </c>
      <c r="AB99" s="38">
        <f t="shared" si="61"/>
        <v>-9058.9205703159732</v>
      </c>
      <c r="AC99" s="38">
        <f t="shared" si="71"/>
        <v>156258.92057031597</v>
      </c>
      <c r="AD99" s="126">
        <f t="shared" si="62"/>
        <v>16.164000000000001</v>
      </c>
      <c r="AE99" s="126">
        <f t="shared" si="63"/>
        <v>8.8081999999999994E-2</v>
      </c>
      <c r="AF99" s="126">
        <f t="shared" si="48"/>
        <v>5686.4874290702901</v>
      </c>
      <c r="AG99" s="126">
        <f t="shared" si="49"/>
        <v>0</v>
      </c>
      <c r="AH99" s="126">
        <f t="shared" si="64"/>
        <v>2586.2712689697419</v>
      </c>
      <c r="AI99" s="126">
        <f t="shared" si="65"/>
        <v>-11645.191839285715</v>
      </c>
      <c r="AJ99" s="126">
        <f t="shared" si="50"/>
        <v>0</v>
      </c>
      <c r="AK99" s="126">
        <f t="shared" si="51"/>
        <v>0</v>
      </c>
      <c r="AL99" s="126">
        <f t="shared" si="52"/>
        <v>-9058.9205703159732</v>
      </c>
      <c r="AM99" s="126">
        <f t="shared" si="79"/>
        <v>0</v>
      </c>
      <c r="AN99" s="126">
        <f t="shared" si="75"/>
        <v>0</v>
      </c>
      <c r="AO99" s="126">
        <f t="shared" si="53"/>
        <v>7238.0775356824624</v>
      </c>
      <c r="AP99" s="126">
        <f t="shared" si="72"/>
        <v>20.24297512968614</v>
      </c>
      <c r="AQ99" s="126">
        <f t="shared" si="66"/>
        <v>81.624899716476378</v>
      </c>
      <c r="AR99" s="126">
        <f t="shared" si="73"/>
        <v>0</v>
      </c>
      <c r="AS99" s="122"/>
      <c r="AT99" s="122"/>
      <c r="AU99" s="122"/>
      <c r="AV99" s="122"/>
      <c r="AW99" s="122"/>
      <c r="AX99" s="122"/>
      <c r="AY99" s="122"/>
      <c r="AZ99" s="122"/>
      <c r="BA99" s="122"/>
      <c r="BB99" s="122"/>
      <c r="BC99" s="69"/>
      <c r="BD99" s="69"/>
      <c r="BE99" s="69"/>
      <c r="BF99" s="69"/>
      <c r="BG99" s="69"/>
      <c r="BH99" s="69"/>
      <c r="BI99" s="69"/>
      <c r="BJ99" s="69"/>
      <c r="BK99" s="69"/>
      <c r="BL99" s="69"/>
      <c r="BM99" s="69"/>
      <c r="BN99" s="69"/>
      <c r="BO99" s="69"/>
      <c r="BP99" s="69"/>
      <c r="BQ99" s="133" t="s">
        <v>257</v>
      </c>
      <c r="BR99" s="69"/>
      <c r="BS99" s="69"/>
      <c r="BT99" s="69"/>
      <c r="BU99" s="69"/>
      <c r="BV99" s="69"/>
      <c r="BW99" s="69"/>
      <c r="BX99" s="69"/>
      <c r="BY99" s="69"/>
      <c r="BZ99" s="69"/>
      <c r="CA99" s="69"/>
      <c r="CB99" s="69"/>
      <c r="CC99" s="69"/>
      <c r="CD99" s="69"/>
      <c r="CE99" s="69"/>
      <c r="CF99" s="69"/>
      <c r="CG99" s="69"/>
      <c r="CH99" s="69"/>
      <c r="CI99" s="69"/>
      <c r="CJ99" s="69"/>
      <c r="CK99" s="69"/>
      <c r="CL99" s="69"/>
      <c r="CM99" s="69"/>
      <c r="CN99" s="69"/>
      <c r="CO99" s="69"/>
      <c r="CP99" s="69"/>
      <c r="CQ99" s="69"/>
      <c r="CR99" s="69"/>
      <c r="CS99" s="69"/>
      <c r="CT99" s="69"/>
      <c r="CU99" s="69"/>
      <c r="CV99" s="69"/>
      <c r="CW99" s="69"/>
    </row>
    <row r="100" spans="1:101" ht="19.5" x14ac:dyDescent="0.35">
      <c r="A100" s="122"/>
      <c r="B100" s="122"/>
      <c r="C100" s="122"/>
      <c r="D100" s="122"/>
      <c r="E100" s="122"/>
      <c r="F100" s="126" t="s">
        <v>129</v>
      </c>
      <c r="G100" s="126" t="s">
        <v>130</v>
      </c>
      <c r="H100" s="122"/>
      <c r="I100" s="122"/>
      <c r="J100" s="122"/>
      <c r="K100" s="38">
        <v>1</v>
      </c>
      <c r="L100" s="38">
        <v>15</v>
      </c>
      <c r="M100" s="103">
        <v>-3</v>
      </c>
      <c r="N100" s="38">
        <f t="shared" si="67"/>
        <v>-39.146604032100214</v>
      </c>
      <c r="O100" s="38">
        <f t="shared" si="74"/>
        <v>1.4900000000000002</v>
      </c>
      <c r="P100" s="38">
        <f t="shared" si="54"/>
        <v>3.3331300000000006</v>
      </c>
      <c r="Q100" s="38">
        <f t="shared" si="68"/>
        <v>1.4900000000000002</v>
      </c>
      <c r="R100" s="93">
        <f t="shared" si="82"/>
        <v>175.20999999999998</v>
      </c>
      <c r="S100" s="103">
        <v>-3.9592874494513626</v>
      </c>
      <c r="T100" s="97">
        <f t="shared" si="77"/>
        <v>-0.10288095238095241</v>
      </c>
      <c r="U100" s="93">
        <f t="shared" si="83"/>
        <v>19.543404415719216</v>
      </c>
      <c r="V100" s="93">
        <f t="shared" si="55"/>
        <v>-3.9592874494513626</v>
      </c>
      <c r="W100" s="38">
        <f t="shared" si="80"/>
        <v>-2175</v>
      </c>
      <c r="X100" s="38">
        <f t="shared" si="81"/>
        <v>0.77383361580000021</v>
      </c>
      <c r="Y100" s="38">
        <f t="shared" si="58"/>
        <v>568.98</v>
      </c>
      <c r="Z100" s="38">
        <f t="shared" si="59"/>
        <v>-491.0839285714286</v>
      </c>
      <c r="AA100" s="38">
        <f t="shared" si="60"/>
        <v>-2096.3300949556287</v>
      </c>
      <c r="AB100" s="38">
        <f t="shared" si="61"/>
        <v>-3123.5318414838871</v>
      </c>
      <c r="AC100" s="38">
        <f t="shared" si="71"/>
        <v>150323.5318414839</v>
      </c>
      <c r="AD100" s="126">
        <f t="shared" si="62"/>
        <v>5.3640000000000008</v>
      </c>
      <c r="AE100" s="126">
        <f t="shared" si="63"/>
        <v>8.2682000000000005E-2</v>
      </c>
      <c r="AF100" s="126">
        <f t="shared" si="48"/>
        <v>1572.9165687396583</v>
      </c>
      <c r="AG100" s="126">
        <f t="shared" si="49"/>
        <v>0</v>
      </c>
      <c r="AH100" s="126">
        <f t="shared" si="64"/>
        <v>848.93321208754207</v>
      </c>
      <c r="AI100" s="126">
        <f t="shared" si="65"/>
        <v>-3972.4650535714295</v>
      </c>
      <c r="AJ100" s="126">
        <f t="shared" si="50"/>
        <v>0</v>
      </c>
      <c r="AK100" s="126">
        <f t="shared" si="51"/>
        <v>0</v>
      </c>
      <c r="AL100" s="126">
        <f t="shared" si="52"/>
        <v>-3123.5318414838871</v>
      </c>
      <c r="AM100" s="126">
        <f t="shared" si="79"/>
        <v>0</v>
      </c>
      <c r="AN100" s="126">
        <f t="shared" si="75"/>
        <v>0</v>
      </c>
      <c r="AO100" s="126">
        <f t="shared" si="53"/>
        <v>2495.7019413456255</v>
      </c>
      <c r="AP100" s="126">
        <f t="shared" si="72"/>
        <v>20.658925453243743</v>
      </c>
      <c r="AQ100" s="126">
        <f t="shared" si="66"/>
        <v>83.302118763079605</v>
      </c>
      <c r="AR100" s="126">
        <f t="shared" si="73"/>
        <v>0</v>
      </c>
      <c r="AS100" s="122"/>
      <c r="AT100" s="122"/>
      <c r="AU100" s="122"/>
      <c r="AV100" s="122"/>
      <c r="AW100" s="122"/>
      <c r="AX100" s="122"/>
      <c r="AY100" s="122"/>
      <c r="AZ100" s="122"/>
      <c r="BA100" s="122"/>
      <c r="BB100" s="122"/>
      <c r="BC100" s="69"/>
      <c r="BD100" s="69"/>
      <c r="BE100" s="69"/>
      <c r="BF100" s="69"/>
      <c r="BG100" s="69"/>
      <c r="BH100" s="69"/>
      <c r="BI100" s="69"/>
      <c r="BJ100" s="69"/>
      <c r="BK100" s="69"/>
      <c r="BL100" s="69"/>
      <c r="BM100" s="69"/>
      <c r="BN100" s="69"/>
      <c r="BO100" s="69"/>
      <c r="BP100" s="69"/>
      <c r="BQ100" s="69"/>
      <c r="BR100" s="69"/>
      <c r="BS100" s="69"/>
      <c r="BT100" s="69"/>
      <c r="BU100" s="69"/>
      <c r="BV100" s="69"/>
      <c r="BW100" s="69"/>
      <c r="BX100" s="69"/>
      <c r="BY100" s="69"/>
      <c r="BZ100" s="69"/>
      <c r="CA100" s="69"/>
      <c r="CB100" s="69"/>
      <c r="CC100" s="69"/>
      <c r="CD100" s="69"/>
      <c r="CE100" s="69"/>
      <c r="CF100" s="69"/>
      <c r="CG100" s="69"/>
      <c r="CH100" s="69"/>
      <c r="CI100" s="69"/>
      <c r="CJ100" s="69"/>
      <c r="CK100" s="69"/>
      <c r="CL100" s="69"/>
      <c r="CM100" s="69"/>
      <c r="CN100" s="69"/>
      <c r="CO100" s="69"/>
      <c r="CP100" s="69"/>
      <c r="CQ100" s="69"/>
      <c r="CR100" s="69"/>
      <c r="CS100" s="69"/>
      <c r="CT100" s="69"/>
      <c r="CU100" s="69"/>
      <c r="CV100" s="69"/>
      <c r="CW100" s="69"/>
    </row>
    <row r="101" spans="1:101" ht="19.5" x14ac:dyDescent="0.35">
      <c r="A101" s="122"/>
      <c r="B101" s="122"/>
      <c r="C101" s="122"/>
      <c r="D101" s="122"/>
      <c r="E101" s="122"/>
      <c r="F101" s="126" t="s">
        <v>133</v>
      </c>
      <c r="G101" s="160" t="s">
        <v>132</v>
      </c>
      <c r="H101" s="122"/>
      <c r="I101" s="122"/>
      <c r="J101" s="122"/>
      <c r="K101" s="38">
        <v>1</v>
      </c>
      <c r="L101" s="98">
        <v>16</v>
      </c>
      <c r="M101" s="103">
        <v>-1</v>
      </c>
      <c r="N101" s="38">
        <f t="shared" si="67"/>
        <v>-13.048868010700071</v>
      </c>
      <c r="O101" s="38">
        <f t="shared" si="74"/>
        <v>0.49000000000000021</v>
      </c>
      <c r="P101" s="38">
        <f t="shared" si="54"/>
        <v>1.0961300000000005</v>
      </c>
      <c r="Q101" s="38">
        <f t="shared" si="68"/>
        <v>0.49000000000000021</v>
      </c>
      <c r="R101" s="100">
        <f t="shared" si="82"/>
        <v>175.7</v>
      </c>
      <c r="S101" s="103">
        <v>-4.0960437581523328</v>
      </c>
      <c r="T101" s="97">
        <f>Q101*(SIN(RADIANS(S101)))</f>
        <v>-3.500000000000001E-2</v>
      </c>
      <c r="U101" s="100">
        <f t="shared" si="83"/>
        <v>19.508404415719216</v>
      </c>
      <c r="V101" s="93">
        <f t="shared" si="55"/>
        <v>-4.0960437581523328</v>
      </c>
      <c r="W101" s="38">
        <f t="shared" si="80"/>
        <v>-725</v>
      </c>
      <c r="X101" s="38">
        <f t="shared" si="81"/>
        <v>8.3688775800000059E-2</v>
      </c>
      <c r="Y101" s="38">
        <f t="shared" si="58"/>
        <v>568.98</v>
      </c>
      <c r="Z101" s="38">
        <f t="shared" si="59"/>
        <v>-508.01785714285711</v>
      </c>
      <c r="AA101" s="38">
        <f t="shared" si="60"/>
        <v>-663.95416836705704</v>
      </c>
      <c r="AB101" s="38">
        <f t="shared" si="61"/>
        <v>-325.3375424998581</v>
      </c>
      <c r="AC101" s="38">
        <f t="shared" si="71"/>
        <v>147525.33754249985</v>
      </c>
      <c r="AD101" s="126">
        <f t="shared" si="62"/>
        <v>1.7640000000000009</v>
      </c>
      <c r="AE101" s="126">
        <f t="shared" si="63"/>
        <v>8.0882000000000009E-2</v>
      </c>
      <c r="AF101" s="126">
        <f t="shared" si="48"/>
        <v>498.46000952795367</v>
      </c>
      <c r="AG101" s="126">
        <f t="shared" si="49"/>
        <v>0</v>
      </c>
      <c r="AH101" s="126">
        <f t="shared" si="64"/>
        <v>278.84120750014216</v>
      </c>
      <c r="AI101" s="126">
        <f t="shared" si="65"/>
        <v>-604.17875000000026</v>
      </c>
      <c r="AJ101" s="126">
        <f t="shared" si="50"/>
        <v>0</v>
      </c>
      <c r="AK101" s="126">
        <f t="shared" si="51"/>
        <v>0</v>
      </c>
      <c r="AL101" s="126">
        <f t="shared" si="52"/>
        <v>-325.3375424998581</v>
      </c>
      <c r="AM101" s="126">
        <f t="shared" si="79"/>
        <v>0</v>
      </c>
      <c r="AN101" s="126">
        <f t="shared" si="75"/>
        <v>0</v>
      </c>
      <c r="AO101" s="126">
        <f t="shared" si="53"/>
        <v>259.94469645738661</v>
      </c>
      <c r="AP101" s="126">
        <f t="shared" si="72"/>
        <v>20.702249569319974</v>
      </c>
      <c r="AQ101" s="126">
        <f t="shared" si="66"/>
        <v>83.476812779516024</v>
      </c>
      <c r="AR101" s="126">
        <f t="shared" si="73"/>
        <v>0</v>
      </c>
      <c r="AS101" s="122"/>
      <c r="AT101" s="122"/>
      <c r="AU101" s="122"/>
      <c r="AV101" s="122"/>
      <c r="AW101" s="122"/>
      <c r="AX101" s="122"/>
      <c r="AY101" s="122"/>
      <c r="AZ101" s="122"/>
      <c r="BA101" s="122"/>
      <c r="BB101" s="122"/>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69"/>
      <c r="BY101" s="69"/>
      <c r="BZ101" s="69"/>
      <c r="CA101" s="69"/>
      <c r="CB101" s="69"/>
      <c r="CC101" s="69"/>
      <c r="CD101" s="69"/>
      <c r="CE101" s="69"/>
      <c r="CF101" s="69"/>
      <c r="CG101" s="69"/>
      <c r="CH101" s="69"/>
      <c r="CI101" s="69"/>
      <c r="CJ101" s="69"/>
      <c r="CK101" s="69"/>
      <c r="CL101" s="69"/>
      <c r="CM101" s="69"/>
      <c r="CN101" s="69"/>
      <c r="CO101" s="69"/>
      <c r="CP101" s="69"/>
      <c r="CQ101" s="69"/>
      <c r="CR101" s="69"/>
      <c r="CS101" s="69"/>
      <c r="CT101" s="69"/>
      <c r="CU101" s="69"/>
      <c r="CV101" s="69"/>
      <c r="CW101" s="69"/>
    </row>
    <row r="102" spans="1:101" ht="19.5" x14ac:dyDescent="0.35">
      <c r="A102" s="122"/>
      <c r="B102" s="122"/>
      <c r="C102" s="122"/>
      <c r="D102" s="122"/>
      <c r="E102" s="122"/>
      <c r="F102" s="126" t="s">
        <v>65</v>
      </c>
      <c r="G102" s="126" t="s">
        <v>131</v>
      </c>
      <c r="H102" s="122"/>
      <c r="I102" s="122"/>
      <c r="J102" s="122"/>
      <c r="K102" s="38">
        <v>1</v>
      </c>
      <c r="L102" s="38">
        <v>17</v>
      </c>
      <c r="M102" s="103">
        <v>1</v>
      </c>
      <c r="N102" s="38">
        <f t="shared" si="67"/>
        <v>13.048868010700071</v>
      </c>
      <c r="O102" s="38">
        <f t="shared" si="74"/>
        <v>1.4900000000000002</v>
      </c>
      <c r="P102" s="38">
        <f t="shared" si="54"/>
        <v>3.3331300000000006</v>
      </c>
      <c r="Q102" s="38">
        <f t="shared" si="68"/>
        <v>1.4900000000000002</v>
      </c>
      <c r="R102" s="93">
        <f>Q102+R101</f>
        <v>177.19</v>
      </c>
      <c r="S102" s="103">
        <v>-4.0960437581523328</v>
      </c>
      <c r="T102" s="97">
        <f t="shared" ref="T102:T113" si="84">Q102*(SIN(RADIANS(S102)))</f>
        <v>-0.10642857142857144</v>
      </c>
      <c r="U102" s="93">
        <f t="shared" si="83"/>
        <v>19.401975844290643</v>
      </c>
      <c r="V102" s="93">
        <f t="shared" si="55"/>
        <v>-4.0960437581523328</v>
      </c>
      <c r="W102" s="38">
        <f t="shared" si="80"/>
        <v>725</v>
      </c>
      <c r="X102" s="38">
        <f t="shared" si="81"/>
        <v>0.77383361580000021</v>
      </c>
      <c r="Y102" s="38">
        <f t="shared" si="58"/>
        <v>568.98</v>
      </c>
      <c r="Z102" s="38">
        <f t="shared" si="59"/>
        <v>-508.01785714285711</v>
      </c>
      <c r="AA102" s="38">
        <f t="shared" si="60"/>
        <v>786.73597647294287</v>
      </c>
      <c r="AB102" s="38">
        <f t="shared" si="61"/>
        <v>1172.236604944685</v>
      </c>
      <c r="AC102" s="38">
        <f t="shared" si="71"/>
        <v>146027.76339505531</v>
      </c>
      <c r="AD102" s="126">
        <f t="shared" si="62"/>
        <v>5.3640000000000008</v>
      </c>
      <c r="AE102" s="126">
        <f t="shared" si="63"/>
        <v>8.2682000000000005E-2</v>
      </c>
      <c r="AF102" s="126">
        <f t="shared" si="48"/>
        <v>1572.9165687396583</v>
      </c>
      <c r="AG102" s="126">
        <f t="shared" si="49"/>
        <v>1172.236604944685</v>
      </c>
      <c r="AH102" s="126">
        <f t="shared" si="64"/>
        <v>1929.1832120875422</v>
      </c>
      <c r="AI102" s="126">
        <f t="shared" si="65"/>
        <v>-756.94660714285715</v>
      </c>
      <c r="AJ102" s="126">
        <f t="shared" si="50"/>
        <v>0</v>
      </c>
      <c r="AK102" s="126">
        <f t="shared" si="51"/>
        <v>0</v>
      </c>
      <c r="AL102" s="126">
        <f t="shared" si="52"/>
        <v>1172.236604944685</v>
      </c>
      <c r="AM102" s="126">
        <f t="shared" si="79"/>
        <v>1467.1296682661891</v>
      </c>
      <c r="AN102" s="126">
        <f t="shared" si="75"/>
        <v>1172.236604944685</v>
      </c>
      <c r="AO102" s="126">
        <f t="shared" si="53"/>
        <v>0</v>
      </c>
      <c r="AP102" s="126">
        <f t="shared" si="72"/>
        <v>20.457727957942275</v>
      </c>
      <c r="AQ102" s="126">
        <f t="shared" si="66"/>
        <v>82.490838540089811</v>
      </c>
      <c r="AR102" s="126">
        <f t="shared" si="73"/>
        <v>0</v>
      </c>
      <c r="AS102" s="122"/>
      <c r="AT102" s="122"/>
      <c r="AU102" s="122"/>
      <c r="AV102" s="122"/>
      <c r="AW102" s="122"/>
      <c r="AX102" s="122"/>
      <c r="AY102" s="122"/>
      <c r="AZ102" s="122"/>
      <c r="BA102" s="122"/>
      <c r="BB102" s="122"/>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c r="CB102" s="69"/>
      <c r="CC102" s="69"/>
      <c r="CD102" s="69"/>
      <c r="CE102" s="69"/>
      <c r="CF102" s="69"/>
      <c r="CG102" s="69"/>
      <c r="CH102" s="69"/>
      <c r="CI102" s="69"/>
      <c r="CJ102" s="69"/>
      <c r="CK102" s="69"/>
      <c r="CL102" s="69"/>
      <c r="CM102" s="69"/>
      <c r="CN102" s="69"/>
      <c r="CO102" s="69"/>
      <c r="CP102" s="69"/>
      <c r="CQ102" s="69"/>
      <c r="CR102" s="69"/>
      <c r="CS102" s="69"/>
      <c r="CT102" s="69"/>
      <c r="CU102" s="69"/>
      <c r="CV102" s="69"/>
      <c r="CW102" s="69"/>
    </row>
    <row r="103" spans="1:101" ht="19.5" x14ac:dyDescent="0.35">
      <c r="A103" s="122"/>
      <c r="B103" s="122"/>
      <c r="C103" s="122"/>
      <c r="D103" s="122"/>
      <c r="E103" s="122"/>
      <c r="F103" s="126" t="s">
        <v>66</v>
      </c>
      <c r="G103" s="144" t="s">
        <v>152</v>
      </c>
      <c r="H103" s="122"/>
      <c r="I103" s="122"/>
      <c r="J103" s="122"/>
      <c r="K103" s="38">
        <v>1</v>
      </c>
      <c r="L103" s="98">
        <v>18</v>
      </c>
      <c r="M103" s="103">
        <v>1.96</v>
      </c>
      <c r="N103" s="38">
        <f t="shared" si="67"/>
        <v>25.575781300972139</v>
      </c>
      <c r="O103" s="38">
        <f t="shared" si="74"/>
        <v>3.45</v>
      </c>
      <c r="P103" s="38">
        <f t="shared" si="54"/>
        <v>7.7176500000000008</v>
      </c>
      <c r="Q103" s="38">
        <f t="shared" si="68"/>
        <v>3.45</v>
      </c>
      <c r="R103" s="100">
        <f t="shared" ref="R103:R155" si="85">Q103+R102</f>
        <v>180.64</v>
      </c>
      <c r="S103" s="103">
        <v>-8.0478462473115151</v>
      </c>
      <c r="T103" s="97">
        <f t="shared" si="84"/>
        <v>-0.48299999999999998</v>
      </c>
      <c r="U103" s="100">
        <f t="shared" si="83"/>
        <v>18.918975844290642</v>
      </c>
      <c r="V103" s="93">
        <f t="shared" si="55"/>
        <v>-8.0478462473115151</v>
      </c>
      <c r="W103" s="38">
        <f t="shared" si="80"/>
        <v>1421</v>
      </c>
      <c r="X103" s="38">
        <f t="shared" si="81"/>
        <v>4.148711595</v>
      </c>
      <c r="Y103" s="38">
        <f t="shared" si="58"/>
        <v>568.98</v>
      </c>
      <c r="Z103" s="38">
        <f t="shared" si="59"/>
        <v>-995.71499999999992</v>
      </c>
      <c r="AA103" s="38">
        <f t="shared" si="60"/>
        <v>998.41371159500011</v>
      </c>
      <c r="AB103" s="38">
        <f t="shared" si="61"/>
        <v>3444.5273050027504</v>
      </c>
      <c r="AC103" s="38">
        <f t="shared" si="71"/>
        <v>143755.47269499724</v>
      </c>
      <c r="AD103" s="126">
        <f t="shared" si="62"/>
        <v>12.420000000000002</v>
      </c>
      <c r="AE103" s="126">
        <f t="shared" si="63"/>
        <v>8.6210000000000009E-2</v>
      </c>
      <c r="AF103" s="126">
        <f t="shared" si="48"/>
        <v>4061.1258952722405</v>
      </c>
      <c r="AG103" s="126">
        <f t="shared" si="49"/>
        <v>3444.5273050027504</v>
      </c>
      <c r="AH103" s="126">
        <f t="shared" si="64"/>
        <v>6879.7440550027504</v>
      </c>
      <c r="AI103" s="126">
        <f t="shared" si="65"/>
        <v>-3435.21675</v>
      </c>
      <c r="AJ103" s="126">
        <f t="shared" si="50"/>
        <v>0</v>
      </c>
      <c r="AK103" s="126">
        <f t="shared" si="51"/>
        <v>0</v>
      </c>
      <c r="AL103" s="126">
        <f t="shared" si="52"/>
        <v>3444.5273050027504</v>
      </c>
      <c r="AM103" s="126">
        <f t="shared" si="79"/>
        <v>4311.0479411799133</v>
      </c>
      <c r="AN103" s="126">
        <f t="shared" si="75"/>
        <v>3444.5273050027504</v>
      </c>
      <c r="AO103" s="126">
        <f t="shared" si="53"/>
        <v>0</v>
      </c>
      <c r="AP103" s="126">
        <f t="shared" si="72"/>
        <v>19.739219967745623</v>
      </c>
      <c r="AQ103" s="126">
        <f t="shared" si="66"/>
        <v>79.593628902200081</v>
      </c>
      <c r="AR103" s="126">
        <f t="shared" si="73"/>
        <v>0</v>
      </c>
      <c r="AS103" s="122"/>
      <c r="AT103" s="122"/>
      <c r="AU103" s="122"/>
      <c r="AV103" s="122"/>
      <c r="AW103" s="122"/>
      <c r="AX103" s="122"/>
      <c r="AY103" s="122"/>
      <c r="AZ103" s="122"/>
      <c r="BA103" s="122"/>
      <c r="BB103" s="122"/>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c r="CB103" s="69"/>
      <c r="CC103" s="69"/>
      <c r="CD103" s="69"/>
      <c r="CE103" s="69"/>
      <c r="CF103" s="69"/>
      <c r="CG103" s="69"/>
      <c r="CH103" s="69"/>
      <c r="CI103" s="69"/>
      <c r="CJ103" s="69"/>
      <c r="CK103" s="69"/>
      <c r="CL103" s="69"/>
      <c r="CM103" s="69"/>
      <c r="CN103" s="69"/>
      <c r="CO103" s="69"/>
      <c r="CP103" s="69"/>
      <c r="CQ103" s="69"/>
      <c r="CR103" s="69"/>
      <c r="CS103" s="69"/>
      <c r="CT103" s="69"/>
      <c r="CU103" s="69"/>
      <c r="CV103" s="69"/>
      <c r="CW103" s="69"/>
    </row>
    <row r="104" spans="1:101" ht="19.5" x14ac:dyDescent="0.35">
      <c r="A104" s="122"/>
      <c r="B104" s="122"/>
      <c r="C104" s="122"/>
      <c r="D104" s="122"/>
      <c r="E104" s="122"/>
      <c r="F104" s="126" t="s">
        <v>93</v>
      </c>
      <c r="G104" s="144" t="s">
        <v>92</v>
      </c>
      <c r="H104" s="122"/>
      <c r="I104" s="122"/>
      <c r="J104" s="122"/>
      <c r="K104" s="38">
        <v>1</v>
      </c>
      <c r="L104" s="38">
        <v>19</v>
      </c>
      <c r="M104" s="103">
        <v>-1.6</v>
      </c>
      <c r="N104" s="38">
        <f t="shared" si="67"/>
        <v>-20.878188817120115</v>
      </c>
      <c r="O104" s="38">
        <f t="shared" si="74"/>
        <v>1.85</v>
      </c>
      <c r="P104" s="38">
        <f t="shared" si="54"/>
        <v>4.1384500000000006</v>
      </c>
      <c r="Q104" s="38">
        <f t="shared" si="68"/>
        <v>1.85</v>
      </c>
      <c r="R104" s="93">
        <f t="shared" si="85"/>
        <v>182.48999999999998</v>
      </c>
      <c r="S104" s="103">
        <v>-8.0478462473115151</v>
      </c>
      <c r="T104" s="97">
        <f t="shared" si="84"/>
        <v>-0.25900000000000001</v>
      </c>
      <c r="U104" s="93">
        <f t="shared" si="83"/>
        <v>18.659975844290642</v>
      </c>
      <c r="V104" s="93">
        <f t="shared" si="55"/>
        <v>-8.0478462473115151</v>
      </c>
      <c r="W104" s="38">
        <f t="shared" si="80"/>
        <v>-1160</v>
      </c>
      <c r="X104" s="38">
        <f t="shared" si="81"/>
        <v>1.192939755</v>
      </c>
      <c r="Y104" s="38">
        <f t="shared" si="58"/>
        <v>568.98</v>
      </c>
      <c r="Z104" s="38">
        <f t="shared" si="59"/>
        <v>-995.71499999999992</v>
      </c>
      <c r="AA104" s="38">
        <f t="shared" si="60"/>
        <v>-1585.5420602449999</v>
      </c>
      <c r="AB104" s="38">
        <f t="shared" si="61"/>
        <v>-2933.2528114532502</v>
      </c>
      <c r="AC104" s="38">
        <f t="shared" si="71"/>
        <v>150133.25281145325</v>
      </c>
      <c r="AD104" s="126">
        <f t="shared" si="62"/>
        <v>6.66</v>
      </c>
      <c r="AE104" s="126">
        <f t="shared" si="63"/>
        <v>8.3330000000000001E-2</v>
      </c>
      <c r="AF104" s="126">
        <f t="shared" si="48"/>
        <v>1985.7353154838659</v>
      </c>
      <c r="AG104" s="126">
        <f t="shared" si="49"/>
        <v>0</v>
      </c>
      <c r="AH104" s="126">
        <f t="shared" si="64"/>
        <v>1054.8199385467501</v>
      </c>
      <c r="AI104" s="126">
        <f t="shared" si="65"/>
        <v>-3988.0727500000003</v>
      </c>
      <c r="AJ104" s="126">
        <f t="shared" si="50"/>
        <v>0</v>
      </c>
      <c r="AK104" s="126">
        <f t="shared" si="51"/>
        <v>0</v>
      </c>
      <c r="AL104" s="126">
        <f t="shared" si="52"/>
        <v>-2933.2528114532502</v>
      </c>
      <c r="AM104" s="126">
        <f t="shared" si="79"/>
        <v>0</v>
      </c>
      <c r="AN104" s="126">
        <f t="shared" si="75"/>
        <v>0</v>
      </c>
      <c r="AO104" s="126">
        <f t="shared" si="53"/>
        <v>2343.6689963511467</v>
      </c>
      <c r="AP104" s="126">
        <f t="shared" si="72"/>
        <v>20.129831467137482</v>
      </c>
      <c r="AQ104" s="126">
        <f t="shared" si="66"/>
        <v>81.168675270715653</v>
      </c>
      <c r="AR104" s="126">
        <f t="shared" si="73"/>
        <v>0</v>
      </c>
      <c r="AS104" s="122"/>
      <c r="AT104" s="122"/>
      <c r="AU104" s="122"/>
      <c r="AV104" s="122"/>
      <c r="AW104" s="122"/>
      <c r="AX104" s="122"/>
      <c r="AY104" s="122"/>
      <c r="AZ104" s="122"/>
      <c r="BA104" s="122"/>
      <c r="BB104" s="122"/>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c r="CA104" s="69"/>
      <c r="CB104" s="69"/>
      <c r="CC104" s="69"/>
      <c r="CD104" s="69"/>
      <c r="CE104" s="69"/>
      <c r="CF104" s="69"/>
      <c r="CG104" s="69"/>
      <c r="CH104" s="69"/>
      <c r="CI104" s="69"/>
      <c r="CJ104" s="69"/>
      <c r="CK104" s="69"/>
      <c r="CL104" s="69"/>
      <c r="CM104" s="69"/>
      <c r="CN104" s="69"/>
      <c r="CO104" s="69"/>
      <c r="CP104" s="69"/>
      <c r="CQ104" s="69"/>
      <c r="CR104" s="69"/>
      <c r="CS104" s="69"/>
      <c r="CT104" s="69"/>
      <c r="CU104" s="69"/>
      <c r="CV104" s="69"/>
      <c r="CW104" s="69"/>
    </row>
    <row r="105" spans="1:101" ht="19.5" x14ac:dyDescent="0.35">
      <c r="A105" s="122"/>
      <c r="B105" s="122"/>
      <c r="C105" s="122"/>
      <c r="D105" s="122"/>
      <c r="E105" s="122"/>
      <c r="F105" s="126" t="s">
        <v>153</v>
      </c>
      <c r="G105" s="126" t="s">
        <v>150</v>
      </c>
      <c r="H105" s="122"/>
      <c r="I105" s="122"/>
      <c r="J105" s="122"/>
      <c r="K105" s="38">
        <v>1</v>
      </c>
      <c r="L105" s="38">
        <v>20</v>
      </c>
      <c r="M105" s="103">
        <v>-1.3</v>
      </c>
      <c r="N105" s="38">
        <f t="shared" si="67"/>
        <v>-16.963528413910094</v>
      </c>
      <c r="O105" s="38">
        <f t="shared" si="74"/>
        <v>0.55000000000000004</v>
      </c>
      <c r="P105" s="38">
        <f t="shared" si="54"/>
        <v>1.2303500000000001</v>
      </c>
      <c r="Q105" s="38">
        <f t="shared" si="68"/>
        <v>0.55000000000000004</v>
      </c>
      <c r="R105" s="93">
        <f t="shared" si="85"/>
        <v>183.04</v>
      </c>
      <c r="S105" s="103">
        <v>-8.0478462473115151</v>
      </c>
      <c r="T105" s="97">
        <f t="shared" si="84"/>
        <v>-7.6999999999999999E-2</v>
      </c>
      <c r="U105" s="93">
        <f t="shared" si="83"/>
        <v>18.58297584429064</v>
      </c>
      <c r="V105" s="93">
        <f t="shared" si="55"/>
        <v>-8.0478462473115151</v>
      </c>
      <c r="W105" s="38">
        <f t="shared" si="80"/>
        <v>-942.5</v>
      </c>
      <c r="X105" s="38">
        <f t="shared" si="81"/>
        <v>0.10543879500000002</v>
      </c>
      <c r="Y105" s="38">
        <f t="shared" si="58"/>
        <v>568.98</v>
      </c>
      <c r="Z105" s="38">
        <f t="shared" si="59"/>
        <v>-995.71499999999992</v>
      </c>
      <c r="AA105" s="38">
        <f t="shared" si="60"/>
        <v>-1369.1295612049998</v>
      </c>
      <c r="AB105" s="38">
        <f t="shared" si="61"/>
        <v>-753.02125866275003</v>
      </c>
      <c r="AC105" s="38">
        <f t="shared" si="71"/>
        <v>147953.02125866275</v>
      </c>
      <c r="AD105" s="126">
        <f t="shared" si="62"/>
        <v>1.9800000000000002</v>
      </c>
      <c r="AE105" s="126">
        <f t="shared" si="63"/>
        <v>8.0990000000000006E-2</v>
      </c>
      <c r="AF105" s="126">
        <f t="shared" si="48"/>
        <v>560.5152492173554</v>
      </c>
      <c r="AG105" s="126">
        <f t="shared" si="49"/>
        <v>0</v>
      </c>
      <c r="AH105" s="126">
        <f t="shared" si="64"/>
        <v>312.99699133725005</v>
      </c>
      <c r="AI105" s="126">
        <f t="shared" si="65"/>
        <v>-1066.0182500000001</v>
      </c>
      <c r="AJ105" s="126">
        <f t="shared" si="50"/>
        <v>0</v>
      </c>
      <c r="AK105" s="126">
        <f t="shared" si="51"/>
        <v>0</v>
      </c>
      <c r="AL105" s="126">
        <f t="shared" si="52"/>
        <v>-753.02125866275003</v>
      </c>
      <c r="AM105" s="126">
        <f t="shared" si="79"/>
        <v>0</v>
      </c>
      <c r="AN105" s="126">
        <f t="shared" si="75"/>
        <v>0</v>
      </c>
      <c r="AO105" s="126">
        <f t="shared" si="53"/>
        <v>601.66398567153726</v>
      </c>
      <c r="AP105" s="126">
        <f t="shared" si="72"/>
        <v>20.230108798082739</v>
      </c>
      <c r="AQ105" s="126">
        <f t="shared" si="66"/>
        <v>81.573019347107817</v>
      </c>
      <c r="AR105" s="126">
        <f t="shared" si="73"/>
        <v>0</v>
      </c>
      <c r="AS105" s="122"/>
      <c r="AT105" s="122"/>
      <c r="AU105" s="122"/>
      <c r="AV105" s="122"/>
      <c r="AW105" s="122"/>
      <c r="AX105" s="122"/>
      <c r="AY105" s="122"/>
      <c r="AZ105" s="122"/>
      <c r="BA105" s="122"/>
      <c r="BB105" s="122"/>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c r="CB105" s="69"/>
      <c r="CC105" s="69"/>
      <c r="CD105" s="69"/>
      <c r="CE105" s="69"/>
      <c r="CF105" s="69"/>
      <c r="CG105" s="69"/>
      <c r="CH105" s="69"/>
      <c r="CI105" s="69"/>
      <c r="CJ105" s="69"/>
      <c r="CK105" s="69"/>
      <c r="CL105" s="69"/>
      <c r="CM105" s="69"/>
      <c r="CN105" s="69"/>
      <c r="CO105" s="69"/>
      <c r="CP105" s="69"/>
      <c r="CQ105" s="69"/>
      <c r="CR105" s="69"/>
      <c r="CS105" s="69"/>
      <c r="CT105" s="69"/>
      <c r="CU105" s="69"/>
      <c r="CV105" s="69"/>
      <c r="CW105" s="69"/>
    </row>
    <row r="106" spans="1:101" ht="19.5" x14ac:dyDescent="0.35">
      <c r="A106" s="122"/>
      <c r="B106" s="122"/>
      <c r="C106" s="122"/>
      <c r="D106" s="122"/>
      <c r="E106" s="122"/>
      <c r="F106" s="126" t="s">
        <v>140</v>
      </c>
      <c r="G106" s="144">
        <v>7.6635428571428568</v>
      </c>
      <c r="H106" s="122"/>
      <c r="I106" s="122"/>
      <c r="J106" s="122"/>
      <c r="K106" s="38">
        <v>1</v>
      </c>
      <c r="L106" s="38">
        <v>21</v>
      </c>
      <c r="M106" s="103">
        <v>-0.5</v>
      </c>
      <c r="N106" s="38">
        <f>(M106/7.6635)*100</f>
        <v>-6.5244340053500354</v>
      </c>
      <c r="O106" s="38">
        <f t="shared" si="74"/>
        <v>5.0000000000000044E-2</v>
      </c>
      <c r="P106" s="38">
        <f t="shared" si="54"/>
        <v>0.1118500000000001</v>
      </c>
      <c r="Q106" s="38">
        <f t="shared" si="68"/>
        <v>5.0000000000000044E-2</v>
      </c>
      <c r="R106" s="93">
        <f t="shared" si="85"/>
        <v>183.09</v>
      </c>
      <c r="S106" s="103">
        <v>-8.0478462473115151</v>
      </c>
      <c r="T106" s="97">
        <f t="shared" si="84"/>
        <v>-7.0000000000000053E-3</v>
      </c>
      <c r="U106" s="93">
        <f>U105+T106</f>
        <v>18.575975844290639</v>
      </c>
      <c r="V106" s="93">
        <f t="shared" si="55"/>
        <v>-8.0478462473115151</v>
      </c>
      <c r="W106" s="38">
        <f t="shared" si="80"/>
        <v>-362.5</v>
      </c>
      <c r="X106" s="38">
        <f t="shared" si="81"/>
        <v>8.7139500000000148E-4</v>
      </c>
      <c r="Y106" s="38">
        <f t="shared" si="58"/>
        <v>568.98</v>
      </c>
      <c r="Z106" s="38">
        <f t="shared" si="59"/>
        <v>-995.71499999999992</v>
      </c>
      <c r="AA106" s="38">
        <f t="shared" si="60"/>
        <v>-789.23412860499991</v>
      </c>
      <c r="AB106" s="38">
        <f t="shared" si="61"/>
        <v>-39.461706430250032</v>
      </c>
      <c r="AC106" s="38">
        <f t="shared" si="71"/>
        <v>147239.46170643024</v>
      </c>
      <c r="AD106" s="126">
        <f t="shared" si="62"/>
        <v>0.18000000000000016</v>
      </c>
      <c r="AE106" s="126">
        <f t="shared" si="63"/>
        <v>8.0090000000000008E-2</v>
      </c>
      <c r="AF106" s="126">
        <f t="shared" si="48"/>
        <v>50.271425652810791</v>
      </c>
      <c r="AG106" s="126">
        <f t="shared" si="49"/>
        <v>0</v>
      </c>
      <c r="AH106" s="126">
        <f t="shared" si="64"/>
        <v>28.449043569750025</v>
      </c>
      <c r="AI106" s="126">
        <f t="shared" si="65"/>
        <v>-67.91075000000005</v>
      </c>
      <c r="AJ106" s="126">
        <f t="shared" si="50"/>
        <v>0</v>
      </c>
      <c r="AK106" s="126">
        <f t="shared" si="51"/>
        <v>0</v>
      </c>
      <c r="AL106" s="126">
        <f t="shared" si="52"/>
        <v>-39.461706430250032</v>
      </c>
      <c r="AM106" s="126">
        <f t="shared" si="79"/>
        <v>0</v>
      </c>
      <c r="AN106" s="126">
        <f t="shared" si="75"/>
        <v>0</v>
      </c>
      <c r="AO106" s="126">
        <f t="shared" si="53"/>
        <v>31.529903437769772</v>
      </c>
      <c r="AP106" s="126">
        <f t="shared" si="72"/>
        <v>20.235363781989033</v>
      </c>
      <c r="AQ106" s="126">
        <f t="shared" si="66"/>
        <v>81.594208798342876</v>
      </c>
      <c r="AR106" s="126">
        <f t="shared" si="73"/>
        <v>0</v>
      </c>
      <c r="AS106" s="122"/>
      <c r="AT106" s="122"/>
      <c r="AU106" s="122"/>
      <c r="AV106" s="122"/>
      <c r="AW106" s="122"/>
      <c r="AX106" s="122"/>
      <c r="AY106" s="122"/>
      <c r="AZ106" s="122"/>
      <c r="BA106" s="122"/>
      <c r="BB106" s="122"/>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c r="CB106" s="69"/>
      <c r="CC106" s="69"/>
      <c r="CD106" s="69"/>
      <c r="CE106" s="69"/>
      <c r="CF106" s="69"/>
      <c r="CG106" s="69"/>
      <c r="CH106" s="69"/>
      <c r="CI106" s="69"/>
      <c r="CJ106" s="69"/>
      <c r="CK106" s="69"/>
      <c r="CL106" s="69"/>
      <c r="CM106" s="69"/>
      <c r="CN106" s="69"/>
      <c r="CO106" s="69"/>
      <c r="CP106" s="69"/>
      <c r="CQ106" s="69"/>
      <c r="CR106" s="69"/>
      <c r="CS106" s="69"/>
      <c r="CT106" s="69"/>
      <c r="CU106" s="69"/>
      <c r="CV106" s="69"/>
      <c r="CW106" s="69"/>
    </row>
    <row r="107" spans="1:101" ht="19.5" x14ac:dyDescent="0.35">
      <c r="A107" s="122"/>
      <c r="B107" s="122"/>
      <c r="C107" s="122"/>
      <c r="D107" s="122"/>
      <c r="E107" s="122"/>
      <c r="F107" s="126" t="s">
        <v>89</v>
      </c>
      <c r="G107" s="126" t="s">
        <v>67</v>
      </c>
      <c r="H107" s="122"/>
      <c r="I107" s="122"/>
      <c r="J107" s="122"/>
      <c r="K107" s="38">
        <v>1</v>
      </c>
      <c r="L107" s="38">
        <v>22</v>
      </c>
      <c r="M107" s="103">
        <v>0.20100000000000001</v>
      </c>
      <c r="N107" s="38">
        <f>(M107/7.6635)*100</f>
        <v>2.6228224701507146</v>
      </c>
      <c r="O107" s="38">
        <f t="shared" si="74"/>
        <v>0.25100000000000006</v>
      </c>
      <c r="P107" s="38">
        <f t="shared" si="54"/>
        <v>0.56148700000000018</v>
      </c>
      <c r="Q107" s="38">
        <f t="shared" si="68"/>
        <v>0.25100000000000006</v>
      </c>
      <c r="R107" s="93">
        <f t="shared" si="85"/>
        <v>183.34100000000001</v>
      </c>
      <c r="S107" s="103">
        <v>-8.0478462473115151</v>
      </c>
      <c r="T107" s="97">
        <f t="shared" si="84"/>
        <v>-3.5140000000000005E-2</v>
      </c>
      <c r="U107" s="93">
        <f t="shared" ref="U107:U143" si="86">U106+T107</f>
        <v>18.54083584429064</v>
      </c>
      <c r="V107" s="93">
        <f t="shared" si="55"/>
        <v>-8.0478462473115151</v>
      </c>
      <c r="W107" s="38">
        <f t="shared" si="80"/>
        <v>145.72500000000002</v>
      </c>
      <c r="X107" s="38">
        <f t="shared" si="81"/>
        <v>2.195950255800001E-2</v>
      </c>
      <c r="Y107" s="38">
        <f t="shared" si="58"/>
        <v>568.98</v>
      </c>
      <c r="Z107" s="38">
        <f t="shared" si="59"/>
        <v>-995.71499999999992</v>
      </c>
      <c r="AA107" s="38">
        <f t="shared" si="60"/>
        <v>-280.98804049744183</v>
      </c>
      <c r="AB107" s="38">
        <f t="shared" si="61"/>
        <v>-70.52799816485792</v>
      </c>
      <c r="AC107" s="38">
        <f t="shared" si="71"/>
        <v>147270.52799816485</v>
      </c>
      <c r="AD107" s="126">
        <f t="shared" si="62"/>
        <v>0.90360000000000018</v>
      </c>
      <c r="AE107" s="126">
        <f t="shared" si="63"/>
        <v>8.0451800000000004E-2</v>
      </c>
      <c r="AF107" s="126">
        <f t="shared" si="48"/>
        <v>253.62364164194173</v>
      </c>
      <c r="AG107" s="126">
        <f t="shared" si="49"/>
        <v>0</v>
      </c>
      <c r="AH107" s="126">
        <f t="shared" si="64"/>
        <v>179.39646683514209</v>
      </c>
      <c r="AI107" s="126">
        <f t="shared" si="65"/>
        <v>-249.92446500000003</v>
      </c>
      <c r="AJ107" s="126">
        <f t="shared" si="50"/>
        <v>0</v>
      </c>
      <c r="AK107" s="126">
        <f t="shared" si="51"/>
        <v>0</v>
      </c>
      <c r="AL107" s="126">
        <f t="shared" si="52"/>
        <v>-70.52799816485792</v>
      </c>
      <c r="AM107" s="126">
        <f t="shared" si="79"/>
        <v>0</v>
      </c>
      <c r="AN107" s="126">
        <f t="shared" si="75"/>
        <v>0</v>
      </c>
      <c r="AO107" s="126">
        <f t="shared" si="53"/>
        <v>56.351870533721474</v>
      </c>
      <c r="AP107" s="126">
        <f t="shared" si="72"/>
        <v>20.244755760411319</v>
      </c>
      <c r="AQ107" s="126">
        <f t="shared" si="66"/>
        <v>81.63207967907789</v>
      </c>
      <c r="AR107" s="126">
        <f t="shared" si="73"/>
        <v>0</v>
      </c>
      <c r="AS107" s="122"/>
      <c r="AT107" s="122"/>
      <c r="AU107" s="122"/>
      <c r="AV107" s="122"/>
      <c r="AW107" s="122"/>
      <c r="AX107" s="122"/>
      <c r="AY107" s="122"/>
      <c r="AZ107" s="122"/>
      <c r="BA107" s="122"/>
      <c r="BB107" s="122"/>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c r="CB107" s="69"/>
      <c r="CC107" s="69"/>
      <c r="CD107" s="69"/>
      <c r="CE107" s="69"/>
      <c r="CF107" s="69"/>
      <c r="CG107" s="69"/>
      <c r="CH107" s="69"/>
      <c r="CI107" s="69"/>
      <c r="CJ107" s="69"/>
      <c r="CK107" s="69"/>
      <c r="CL107" s="69"/>
      <c r="CM107" s="69"/>
      <c r="CN107" s="69"/>
      <c r="CO107" s="69"/>
      <c r="CP107" s="69"/>
      <c r="CQ107" s="69"/>
      <c r="CR107" s="69"/>
      <c r="CS107" s="69"/>
      <c r="CT107" s="69"/>
      <c r="CU107" s="69"/>
      <c r="CV107" s="69"/>
      <c r="CW107" s="69"/>
    </row>
    <row r="108" spans="1:101" ht="19.5" x14ac:dyDescent="0.35">
      <c r="A108" s="122"/>
      <c r="B108" s="122"/>
      <c r="C108" s="122"/>
      <c r="D108" s="122"/>
      <c r="E108" s="122"/>
      <c r="F108" s="126" t="s">
        <v>71</v>
      </c>
      <c r="G108" s="126" t="s">
        <v>68</v>
      </c>
      <c r="H108" s="122"/>
      <c r="I108" s="122"/>
      <c r="J108" s="122"/>
      <c r="K108" s="38">
        <v>1</v>
      </c>
      <c r="L108" s="38">
        <v>23</v>
      </c>
      <c r="M108" s="103">
        <v>0.37</v>
      </c>
      <c r="N108" s="38">
        <f t="shared" ref="N108:N145" si="87">(M108/7.6635)*100</f>
        <v>4.828081163959026</v>
      </c>
      <c r="O108" s="38">
        <f t="shared" si="74"/>
        <v>0.621</v>
      </c>
      <c r="P108" s="38">
        <f t="shared" si="54"/>
        <v>1.3891770000000001</v>
      </c>
      <c r="Q108" s="38">
        <f t="shared" si="68"/>
        <v>0.621</v>
      </c>
      <c r="R108" s="93">
        <f t="shared" si="85"/>
        <v>183.96200000000002</v>
      </c>
      <c r="S108" s="103">
        <v>-8.0478462473115151</v>
      </c>
      <c r="T108" s="97">
        <f t="shared" si="84"/>
        <v>-8.693999999999999E-2</v>
      </c>
      <c r="U108" s="93">
        <f t="shared" si="86"/>
        <v>18.453895844290642</v>
      </c>
      <c r="V108" s="93">
        <f t="shared" si="55"/>
        <v>-8.0478462473115151</v>
      </c>
      <c r="W108" s="38">
        <f t="shared" si="80"/>
        <v>268.25</v>
      </c>
      <c r="X108" s="38">
        <f t="shared" si="81"/>
        <v>0.134418255678</v>
      </c>
      <c r="Y108" s="38">
        <f t="shared" si="58"/>
        <v>568.98</v>
      </c>
      <c r="Z108" s="38">
        <f t="shared" si="59"/>
        <v>-995.71499999999992</v>
      </c>
      <c r="AA108" s="38">
        <f t="shared" si="60"/>
        <v>-158.35058174432186</v>
      </c>
      <c r="AB108" s="38">
        <f t="shared" si="61"/>
        <v>-98.335711263223871</v>
      </c>
      <c r="AC108" s="38">
        <f t="shared" si="71"/>
        <v>147298.33571126324</v>
      </c>
      <c r="AD108" s="126">
        <f t="shared" si="62"/>
        <v>2.2356000000000003</v>
      </c>
      <c r="AE108" s="126">
        <f t="shared" si="63"/>
        <v>8.1117800000000004E-2</v>
      </c>
      <c r="AF108" s="126">
        <f t="shared" si="48"/>
        <v>634.28062976054014</v>
      </c>
      <c r="AG108" s="126">
        <f t="shared" si="49"/>
        <v>0</v>
      </c>
      <c r="AH108" s="126">
        <f t="shared" si="64"/>
        <v>520.00330373677605</v>
      </c>
      <c r="AI108" s="126">
        <f t="shared" si="65"/>
        <v>-618.3390149999999</v>
      </c>
      <c r="AJ108" s="126">
        <f t="shared" si="50"/>
        <v>0</v>
      </c>
      <c r="AK108" s="126">
        <f t="shared" si="51"/>
        <v>0</v>
      </c>
      <c r="AL108" s="126">
        <f t="shared" si="52"/>
        <v>-98.335711263223871</v>
      </c>
      <c r="AM108" s="126">
        <f t="shared" si="79"/>
        <v>0</v>
      </c>
      <c r="AN108" s="126">
        <f t="shared" si="75"/>
        <v>0</v>
      </c>
      <c r="AO108" s="126">
        <f t="shared" si="53"/>
        <v>78.570233299315873</v>
      </c>
      <c r="AP108" s="126">
        <f t="shared" si="72"/>
        <v>20.257850799294538</v>
      </c>
      <c r="AQ108" s="126">
        <f t="shared" si="66"/>
        <v>81.684882255219904</v>
      </c>
      <c r="AR108" s="126">
        <f t="shared" si="73"/>
        <v>0</v>
      </c>
      <c r="AS108" s="122"/>
      <c r="AT108" s="122"/>
      <c r="AU108" s="122"/>
      <c r="AV108" s="122"/>
      <c r="AW108" s="122"/>
      <c r="AX108" s="122"/>
      <c r="AY108" s="122"/>
      <c r="AZ108" s="122"/>
      <c r="BA108" s="122"/>
      <c r="BB108" s="122"/>
      <c r="BC108" s="69"/>
      <c r="BD108" s="69"/>
      <c r="BE108" s="69"/>
      <c r="BF108" s="69"/>
      <c r="BG108" s="69"/>
      <c r="BH108" s="69"/>
      <c r="BI108" s="69"/>
      <c r="BJ108" s="69"/>
      <c r="BK108" s="69"/>
      <c r="BL108" s="69"/>
      <c r="BM108" s="69"/>
      <c r="BN108" s="69"/>
      <c r="BO108" s="69"/>
      <c r="BP108" s="69"/>
      <c r="BQ108" s="69"/>
      <c r="BR108" s="69"/>
      <c r="BS108" s="69"/>
      <c r="BT108" s="69"/>
      <c r="BU108" s="69"/>
      <c r="BV108" s="69"/>
      <c r="BW108" s="69"/>
      <c r="BX108" s="69"/>
      <c r="BY108" s="69"/>
      <c r="BZ108" s="69"/>
      <c r="CA108" s="69"/>
      <c r="CB108" s="69"/>
      <c r="CC108" s="69"/>
      <c r="CD108" s="69"/>
      <c r="CE108" s="69"/>
      <c r="CF108" s="69"/>
      <c r="CG108" s="69"/>
      <c r="CH108" s="69"/>
      <c r="CI108" s="69"/>
      <c r="CJ108" s="69"/>
      <c r="CK108" s="69"/>
      <c r="CL108" s="69"/>
      <c r="CM108" s="69"/>
      <c r="CN108" s="69"/>
      <c r="CO108" s="69"/>
      <c r="CP108" s="69"/>
      <c r="CQ108" s="69"/>
      <c r="CR108" s="69"/>
      <c r="CS108" s="69"/>
      <c r="CT108" s="69"/>
      <c r="CU108" s="69"/>
      <c r="CV108" s="69"/>
      <c r="CW108" s="69"/>
    </row>
    <row r="109" spans="1:101" ht="19.5" x14ac:dyDescent="0.35">
      <c r="A109" s="122"/>
      <c r="B109" s="122"/>
      <c r="C109" s="122"/>
      <c r="D109" s="122"/>
      <c r="E109" s="122"/>
      <c r="F109" s="126" t="s">
        <v>193</v>
      </c>
      <c r="G109" s="126" t="s">
        <v>113</v>
      </c>
      <c r="H109" s="122"/>
      <c r="I109" s="122"/>
      <c r="J109" s="122"/>
      <c r="K109" s="38">
        <v>1</v>
      </c>
      <c r="L109" s="38">
        <v>24</v>
      </c>
      <c r="M109" s="103">
        <v>0.4</v>
      </c>
      <c r="N109" s="38">
        <f t="shared" si="87"/>
        <v>5.2195472042800288</v>
      </c>
      <c r="O109" s="38">
        <f t="shared" si="74"/>
        <v>1.0209999999999999</v>
      </c>
      <c r="P109" s="38">
        <f t="shared" si="54"/>
        <v>2.2839769999999997</v>
      </c>
      <c r="Q109" s="38">
        <f t="shared" si="68"/>
        <v>1.0209999999999999</v>
      </c>
      <c r="R109" s="93">
        <f t="shared" si="85"/>
        <v>184.983</v>
      </c>
      <c r="S109" s="103">
        <v>-8.0478462473115151</v>
      </c>
      <c r="T109" s="97">
        <f t="shared" si="84"/>
        <v>-0.14293999999999998</v>
      </c>
      <c r="U109" s="93">
        <f t="shared" si="86"/>
        <v>18.310955844290643</v>
      </c>
      <c r="V109" s="93">
        <f t="shared" si="55"/>
        <v>-8.0478462473115151</v>
      </c>
      <c r="W109" s="38">
        <f t="shared" si="80"/>
        <v>290</v>
      </c>
      <c r="X109" s="38">
        <f t="shared" si="81"/>
        <v>0.3633511500779999</v>
      </c>
      <c r="Y109" s="38">
        <f t="shared" si="58"/>
        <v>568.98</v>
      </c>
      <c r="Z109" s="38">
        <f t="shared" si="59"/>
        <v>-995.71499999999992</v>
      </c>
      <c r="AA109" s="38">
        <f t="shared" si="60"/>
        <v>-136.37164884992194</v>
      </c>
      <c r="AB109" s="38">
        <f t="shared" si="61"/>
        <v>-139.2354534757703</v>
      </c>
      <c r="AC109" s="38">
        <f t="shared" si="71"/>
        <v>147339.23545347576</v>
      </c>
      <c r="AD109" s="126">
        <f t="shared" si="62"/>
        <v>3.6755999999999998</v>
      </c>
      <c r="AE109" s="126">
        <f t="shared" si="63"/>
        <v>8.1837800000000002E-2</v>
      </c>
      <c r="AF109" s="126">
        <f t="shared" si="48"/>
        <v>1057.4101263401303</v>
      </c>
      <c r="AG109" s="126">
        <f t="shared" si="49"/>
        <v>0</v>
      </c>
      <c r="AH109" s="126">
        <f t="shared" si="64"/>
        <v>877.38956152422952</v>
      </c>
      <c r="AI109" s="126">
        <f t="shared" si="65"/>
        <v>-1016.6250149999998</v>
      </c>
      <c r="AJ109" s="126">
        <f t="shared" si="50"/>
        <v>0</v>
      </c>
      <c r="AK109" s="126">
        <f t="shared" si="51"/>
        <v>0</v>
      </c>
      <c r="AL109" s="126">
        <f t="shared" si="52"/>
        <v>-139.2354534757703</v>
      </c>
      <c r="AM109" s="126">
        <f t="shared" si="79"/>
        <v>0</v>
      </c>
      <c r="AN109" s="126">
        <f t="shared" si="75"/>
        <v>0</v>
      </c>
      <c r="AO109" s="126">
        <f t="shared" si="53"/>
        <v>111.24912732714046</v>
      </c>
      <c r="AP109" s="126">
        <f t="shared" si="72"/>
        <v>20.276392320515729</v>
      </c>
      <c r="AQ109" s="126">
        <f t="shared" si="66"/>
        <v>81.759646453692454</v>
      </c>
      <c r="AR109" s="126">
        <f t="shared" si="73"/>
        <v>0</v>
      </c>
      <c r="AS109" s="122"/>
      <c r="AT109" s="122"/>
      <c r="AU109" s="122"/>
      <c r="AV109" s="122"/>
      <c r="AW109" s="122"/>
      <c r="AX109" s="122"/>
      <c r="AY109" s="122"/>
      <c r="AZ109" s="122"/>
      <c r="BA109" s="122"/>
      <c r="BB109" s="122"/>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c r="CB109" s="69"/>
      <c r="CC109" s="69"/>
      <c r="CD109" s="69"/>
      <c r="CE109" s="69"/>
      <c r="CF109" s="69"/>
      <c r="CG109" s="69"/>
      <c r="CH109" s="69"/>
      <c r="CI109" s="69"/>
      <c r="CJ109" s="69"/>
      <c r="CK109" s="69"/>
      <c r="CL109" s="69"/>
      <c r="CM109" s="69"/>
      <c r="CN109" s="69"/>
      <c r="CO109" s="69"/>
      <c r="CP109" s="69"/>
      <c r="CQ109" s="69"/>
      <c r="CR109" s="69"/>
      <c r="CS109" s="69"/>
      <c r="CT109" s="69"/>
      <c r="CU109" s="69"/>
      <c r="CV109" s="69"/>
      <c r="CW109" s="69"/>
    </row>
    <row r="110" spans="1:101" ht="19.5" x14ac:dyDescent="0.35">
      <c r="A110" s="122"/>
      <c r="B110" s="122"/>
      <c r="C110" s="122"/>
      <c r="D110" s="122"/>
      <c r="E110" s="122"/>
      <c r="F110" s="126" t="s">
        <v>74</v>
      </c>
      <c r="G110" s="126" t="s">
        <v>72</v>
      </c>
      <c r="H110" s="122"/>
      <c r="I110" s="122"/>
      <c r="J110" s="122"/>
      <c r="K110" s="38">
        <v>1</v>
      </c>
      <c r="L110" s="98">
        <v>25</v>
      </c>
      <c r="M110" s="103">
        <v>0.4</v>
      </c>
      <c r="N110" s="38">
        <f t="shared" si="87"/>
        <v>5.2195472042800288</v>
      </c>
      <c r="O110" s="38">
        <f t="shared" si="74"/>
        <v>1.4209999999999998</v>
      </c>
      <c r="P110" s="38">
        <f t="shared" si="54"/>
        <v>3.1787769999999997</v>
      </c>
      <c r="Q110" s="38">
        <f t="shared" si="68"/>
        <v>1.4209999999999998</v>
      </c>
      <c r="R110" s="100">
        <f t="shared" si="85"/>
        <v>186.404</v>
      </c>
      <c r="S110" s="103">
        <v>-14.477512185929925</v>
      </c>
      <c r="T110" s="97">
        <f t="shared" si="84"/>
        <v>-0.35524999999999995</v>
      </c>
      <c r="U110" s="100">
        <f t="shared" si="86"/>
        <v>17.955705844290641</v>
      </c>
      <c r="V110" s="93">
        <f t="shared" si="55"/>
        <v>-14.477512185929925</v>
      </c>
      <c r="W110" s="38">
        <f t="shared" si="80"/>
        <v>290</v>
      </c>
      <c r="X110" s="38">
        <f t="shared" si="81"/>
        <v>0.70382260447799982</v>
      </c>
      <c r="Y110" s="38">
        <f t="shared" si="58"/>
        <v>568.98</v>
      </c>
      <c r="Z110" s="38">
        <f t="shared" si="59"/>
        <v>-1778.0625</v>
      </c>
      <c r="AA110" s="38">
        <f t="shared" si="60"/>
        <v>-918.37867739552212</v>
      </c>
      <c r="AB110" s="38">
        <f t="shared" si="61"/>
        <v>-1305.0161005790367</v>
      </c>
      <c r="AC110" s="38">
        <f t="shared" si="71"/>
        <v>148505.01610057903</v>
      </c>
      <c r="AD110" s="126">
        <f t="shared" si="62"/>
        <v>5.1155999999999997</v>
      </c>
      <c r="AE110" s="126">
        <f t="shared" si="63"/>
        <v>8.2557800000000001E-2</v>
      </c>
      <c r="AF110" s="126">
        <f t="shared" si="48"/>
        <v>1495.5855259258547</v>
      </c>
      <c r="AG110" s="126">
        <f t="shared" si="49"/>
        <v>0</v>
      </c>
      <c r="AH110" s="126">
        <f t="shared" si="64"/>
        <v>1221.610711920963</v>
      </c>
      <c r="AI110" s="126">
        <f t="shared" si="65"/>
        <v>-2526.6268124999997</v>
      </c>
      <c r="AJ110" s="126">
        <f t="shared" si="50"/>
        <v>0</v>
      </c>
      <c r="AK110" s="126">
        <f t="shared" si="51"/>
        <v>0</v>
      </c>
      <c r="AL110" s="126">
        <f t="shared" si="52"/>
        <v>-1305.0161005790367</v>
      </c>
      <c r="AM110" s="126">
        <f t="shared" si="79"/>
        <v>0</v>
      </c>
      <c r="AN110" s="126">
        <f t="shared" si="75"/>
        <v>0</v>
      </c>
      <c r="AO110" s="126">
        <f t="shared" si="53"/>
        <v>1042.7078643626503</v>
      </c>
      <c r="AP110" s="126">
        <f t="shared" si="72"/>
        <v>20.450176964576169</v>
      </c>
      <c r="AQ110" s="126">
        <f t="shared" si="66"/>
        <v>82.460390986194227</v>
      </c>
      <c r="AR110" s="126">
        <f t="shared" si="73"/>
        <v>0</v>
      </c>
      <c r="AS110" s="122"/>
      <c r="AT110" s="122"/>
      <c r="AU110" s="122"/>
      <c r="AV110" s="122"/>
      <c r="AW110" s="122"/>
      <c r="AX110" s="122"/>
      <c r="AY110" s="122"/>
      <c r="AZ110" s="122"/>
      <c r="BA110" s="122"/>
      <c r="BB110" s="122"/>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c r="CB110" s="69"/>
      <c r="CC110" s="69"/>
      <c r="CD110" s="69"/>
      <c r="CE110" s="69"/>
      <c r="CF110" s="69"/>
      <c r="CG110" s="69"/>
      <c r="CH110" s="69"/>
      <c r="CI110" s="69"/>
      <c r="CJ110" s="69"/>
      <c r="CK110" s="69"/>
      <c r="CL110" s="69"/>
      <c r="CM110" s="69"/>
      <c r="CN110" s="69"/>
      <c r="CO110" s="69"/>
      <c r="CP110" s="69"/>
      <c r="CQ110" s="69"/>
      <c r="CR110" s="69"/>
      <c r="CS110" s="69"/>
      <c r="CT110" s="69"/>
      <c r="CU110" s="69"/>
      <c r="CV110" s="69"/>
      <c r="CW110" s="69"/>
    </row>
    <row r="111" spans="1:101" ht="19.5" x14ac:dyDescent="0.35">
      <c r="A111" s="122"/>
      <c r="B111" s="122"/>
      <c r="C111" s="122"/>
      <c r="D111" s="122"/>
      <c r="E111" s="122"/>
      <c r="F111" s="126" t="s">
        <v>194</v>
      </c>
      <c r="G111" s="126" t="s">
        <v>290</v>
      </c>
      <c r="H111" s="122"/>
      <c r="I111" s="122"/>
      <c r="J111" s="122"/>
      <c r="K111" s="38">
        <v>1</v>
      </c>
      <c r="L111" s="38">
        <v>26</v>
      </c>
      <c r="M111" s="103">
        <v>2.3E-2</v>
      </c>
      <c r="N111" s="38">
        <f t="shared" si="87"/>
        <v>0.30012396424610166</v>
      </c>
      <c r="O111" s="38">
        <f t="shared" si="74"/>
        <v>1.4439999999999997</v>
      </c>
      <c r="P111" s="38">
        <f t="shared" si="54"/>
        <v>3.2302279999999994</v>
      </c>
      <c r="Q111" s="38">
        <f t="shared" si="68"/>
        <v>1.4439999999999997</v>
      </c>
      <c r="R111" s="93">
        <f t="shared" si="85"/>
        <v>187.84799999999998</v>
      </c>
      <c r="S111" s="103">
        <v>-14.477512185929925</v>
      </c>
      <c r="T111" s="97">
        <f t="shared" si="84"/>
        <v>-0.36099999999999993</v>
      </c>
      <c r="U111" s="93">
        <f t="shared" si="86"/>
        <v>17.59470584429064</v>
      </c>
      <c r="V111" s="93">
        <f t="shared" si="55"/>
        <v>-14.477512185929925</v>
      </c>
      <c r="W111" s="38">
        <f t="shared" si="80"/>
        <v>16.675000000000001</v>
      </c>
      <c r="X111" s="38">
        <f t="shared" si="81"/>
        <v>0.72679083388799981</v>
      </c>
      <c r="Y111" s="38">
        <f t="shared" si="58"/>
        <v>568.98</v>
      </c>
      <c r="Z111" s="38">
        <f t="shared" si="59"/>
        <v>-1778.0625</v>
      </c>
      <c r="AA111" s="38">
        <f t="shared" si="60"/>
        <v>-1191.6807091661119</v>
      </c>
      <c r="AB111" s="38">
        <f t="shared" si="61"/>
        <v>-1720.7869440358652</v>
      </c>
      <c r="AC111" s="38">
        <f t="shared" si="71"/>
        <v>148920.78694403588</v>
      </c>
      <c r="AD111" s="126">
        <f t="shared" si="62"/>
        <v>5.1983999999999995</v>
      </c>
      <c r="AE111" s="126">
        <f t="shared" si="63"/>
        <v>8.2599199999999998E-2</v>
      </c>
      <c r="AF111" s="126">
        <f t="shared" si="48"/>
        <v>1521.3018957087991</v>
      </c>
      <c r="AG111" s="126">
        <f t="shared" si="49"/>
        <v>0</v>
      </c>
      <c r="AH111" s="126">
        <f t="shared" si="64"/>
        <v>846.73530596413411</v>
      </c>
      <c r="AI111" s="126">
        <f t="shared" si="65"/>
        <v>-2567.5222499999995</v>
      </c>
      <c r="AJ111" s="126">
        <f t="shared" si="50"/>
        <v>0</v>
      </c>
      <c r="AK111" s="126">
        <f t="shared" si="51"/>
        <v>0</v>
      </c>
      <c r="AL111" s="126">
        <f t="shared" si="52"/>
        <v>-1720.7869440358652</v>
      </c>
      <c r="AM111" s="126">
        <f t="shared" si="79"/>
        <v>0</v>
      </c>
      <c r="AN111" s="126">
        <f t="shared" si="75"/>
        <v>0</v>
      </c>
      <c r="AO111" s="126">
        <f t="shared" si="53"/>
        <v>1374.9087682846562</v>
      </c>
      <c r="AP111" s="126">
        <f t="shared" si="72"/>
        <v>20.679328425956946</v>
      </c>
      <c r="AQ111" s="126">
        <f t="shared" si="66"/>
        <v>83.384388814342529</v>
      </c>
      <c r="AR111" s="126">
        <f t="shared" si="73"/>
        <v>0</v>
      </c>
      <c r="AS111" s="122"/>
      <c r="AT111" s="122"/>
      <c r="AU111" s="122"/>
      <c r="AV111" s="122"/>
      <c r="AW111" s="122"/>
      <c r="AX111" s="122"/>
      <c r="AY111" s="122"/>
      <c r="AZ111" s="122"/>
      <c r="BA111" s="122"/>
      <c r="BB111" s="122"/>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c r="CB111" s="69"/>
      <c r="CC111" s="69"/>
      <c r="CD111" s="69"/>
      <c r="CE111" s="69"/>
      <c r="CF111" s="69"/>
      <c r="CG111" s="69"/>
      <c r="CH111" s="69"/>
      <c r="CI111" s="69"/>
      <c r="CJ111" s="69"/>
      <c r="CK111" s="69"/>
      <c r="CL111" s="69"/>
      <c r="CM111" s="69"/>
      <c r="CN111" s="69"/>
      <c r="CO111" s="69"/>
      <c r="CP111" s="69"/>
      <c r="CQ111" s="69"/>
      <c r="CR111" s="69"/>
      <c r="CS111" s="69"/>
      <c r="CT111" s="69"/>
      <c r="CU111" s="69"/>
      <c r="CV111" s="69"/>
      <c r="CW111" s="69"/>
    </row>
    <row r="112" spans="1:101" ht="19.5" x14ac:dyDescent="0.35">
      <c r="A112" s="122"/>
      <c r="B112" s="122"/>
      <c r="C112" s="122"/>
      <c r="D112" s="122"/>
      <c r="E112" s="122"/>
      <c r="F112" s="122"/>
      <c r="G112" s="122"/>
      <c r="H112" s="122"/>
      <c r="I112" s="122"/>
      <c r="J112" s="122"/>
      <c r="K112" s="38">
        <v>1</v>
      </c>
      <c r="L112" s="38">
        <v>27</v>
      </c>
      <c r="M112" s="103">
        <v>2.3E-2</v>
      </c>
      <c r="N112" s="38">
        <f t="shared" si="87"/>
        <v>0.30012396424610166</v>
      </c>
      <c r="O112" s="38">
        <f t="shared" si="74"/>
        <v>1.4669999999999996</v>
      </c>
      <c r="P112" s="38">
        <f t="shared" si="54"/>
        <v>3.2816789999999991</v>
      </c>
      <c r="Q112" s="38">
        <f t="shared" si="68"/>
        <v>1.4669999999999996</v>
      </c>
      <c r="R112" s="93">
        <f t="shared" si="85"/>
        <v>189.315</v>
      </c>
      <c r="S112" s="103">
        <v>-14.477512185929925</v>
      </c>
      <c r="T112" s="97">
        <f t="shared" si="84"/>
        <v>-0.36674999999999991</v>
      </c>
      <c r="U112" s="93">
        <f t="shared" si="86"/>
        <v>17.227955844290641</v>
      </c>
      <c r="V112" s="93">
        <f t="shared" si="55"/>
        <v>-14.477512185929925</v>
      </c>
      <c r="W112" s="38">
        <f t="shared" si="80"/>
        <v>16.675000000000001</v>
      </c>
      <c r="X112" s="38">
        <f t="shared" si="81"/>
        <v>0.75012783766199953</v>
      </c>
      <c r="Y112" s="38">
        <f t="shared" si="58"/>
        <v>568.98</v>
      </c>
      <c r="Z112" s="38">
        <f t="shared" si="59"/>
        <v>-1778.0625</v>
      </c>
      <c r="AA112" s="38">
        <f t="shared" si="60"/>
        <v>-1191.6573721623379</v>
      </c>
      <c r="AB112" s="38">
        <f t="shared" si="61"/>
        <v>-1748.1613649621493</v>
      </c>
      <c r="AC112" s="38">
        <f t="shared" si="71"/>
        <v>148948.16136496214</v>
      </c>
      <c r="AD112" s="126">
        <f t="shared" si="62"/>
        <v>5.2811999999999992</v>
      </c>
      <c r="AE112" s="126">
        <f t="shared" si="63"/>
        <v>8.2640600000000008E-2</v>
      </c>
      <c r="AF112" s="126">
        <f t="shared" si="48"/>
        <v>1547.0787159581284</v>
      </c>
      <c r="AG112" s="126">
        <f t="shared" si="49"/>
        <v>0</v>
      </c>
      <c r="AH112" s="126">
        <f t="shared" si="64"/>
        <v>860.25632253785</v>
      </c>
      <c r="AI112" s="126">
        <f t="shared" si="65"/>
        <v>-2608.4176874999994</v>
      </c>
      <c r="AJ112" s="126">
        <f t="shared" si="50"/>
        <v>0</v>
      </c>
      <c r="AK112" s="126">
        <f t="shared" si="51"/>
        <v>0</v>
      </c>
      <c r="AL112" s="126">
        <f t="shared" si="52"/>
        <v>-1748.1613649621493</v>
      </c>
      <c r="AM112" s="126">
        <f t="shared" si="79"/>
        <v>0</v>
      </c>
      <c r="AN112" s="126">
        <f t="shared" si="75"/>
        <v>0</v>
      </c>
      <c r="AO112" s="126">
        <f t="shared" si="53"/>
        <v>1396.780930604757</v>
      </c>
      <c r="AP112" s="126">
        <f t="shared" si="72"/>
        <v>20.912125247724404</v>
      </c>
      <c r="AQ112" s="126">
        <f t="shared" si="66"/>
        <v>84.323085676308068</v>
      </c>
      <c r="AR112" s="126">
        <f t="shared" si="73"/>
        <v>0</v>
      </c>
      <c r="AS112" s="122"/>
      <c r="AT112" s="122"/>
      <c r="AU112" s="122"/>
      <c r="AV112" s="122"/>
      <c r="AW112" s="122"/>
      <c r="AX112" s="122"/>
      <c r="AY112" s="122"/>
      <c r="AZ112" s="122"/>
      <c r="BA112" s="122"/>
      <c r="BB112" s="122"/>
      <c r="BC112" s="69"/>
      <c r="BD112" s="69"/>
      <c r="BE112" s="69"/>
      <c r="BF112" s="69"/>
      <c r="BG112" s="69"/>
      <c r="BH112" s="69"/>
      <c r="BI112" s="69"/>
      <c r="BJ112" s="69"/>
      <c r="BK112" s="69"/>
      <c r="BL112" s="69"/>
      <c r="BM112" s="69"/>
      <c r="BN112" s="69"/>
      <c r="BO112" s="69"/>
      <c r="BP112" s="69"/>
      <c r="BQ112" s="69"/>
      <c r="BR112" s="69"/>
      <c r="BS112" s="69"/>
      <c r="BT112" s="69"/>
      <c r="BU112" s="69"/>
      <c r="BV112" s="69"/>
      <c r="BW112" s="69"/>
      <c r="BX112" s="69"/>
      <c r="BY112" s="69"/>
      <c r="BZ112" s="69"/>
      <c r="CA112" s="69"/>
      <c r="CB112" s="69"/>
      <c r="CC112" s="69"/>
      <c r="CD112" s="69"/>
      <c r="CE112" s="69"/>
      <c r="CF112" s="69"/>
      <c r="CG112" s="69"/>
      <c r="CH112" s="69"/>
      <c r="CI112" s="69"/>
      <c r="CJ112" s="69"/>
      <c r="CK112" s="69"/>
      <c r="CL112" s="69"/>
      <c r="CM112" s="69"/>
      <c r="CN112" s="69"/>
      <c r="CO112" s="69"/>
      <c r="CP112" s="69"/>
      <c r="CQ112" s="69"/>
      <c r="CR112" s="69"/>
      <c r="CS112" s="69"/>
      <c r="CT112" s="69"/>
      <c r="CU112" s="69"/>
      <c r="CV112" s="69"/>
      <c r="CW112" s="69"/>
    </row>
    <row r="113" spans="1:101" ht="19.5" x14ac:dyDescent="0.35">
      <c r="A113" s="122"/>
      <c r="B113" s="122"/>
      <c r="C113" s="122"/>
      <c r="D113" s="122"/>
      <c r="E113" s="122"/>
      <c r="F113" s="122"/>
      <c r="G113" s="122"/>
      <c r="H113" s="122"/>
      <c r="I113" s="122"/>
      <c r="J113" s="122"/>
      <c r="K113" s="38">
        <v>1</v>
      </c>
      <c r="L113" s="38">
        <v>28</v>
      </c>
      <c r="M113" s="103">
        <v>1.2E-2</v>
      </c>
      <c r="N113" s="38">
        <f t="shared" si="87"/>
        <v>0.15658641612840085</v>
      </c>
      <c r="O113" s="38">
        <f t="shared" si="74"/>
        <v>1.4789999999999996</v>
      </c>
      <c r="P113" s="38">
        <f t="shared" si="54"/>
        <v>3.3085229999999992</v>
      </c>
      <c r="Q113" s="38">
        <f t="shared" si="68"/>
        <v>1.4789999999999996</v>
      </c>
      <c r="R113" s="93">
        <f t="shared" si="85"/>
        <v>190.79400000000001</v>
      </c>
      <c r="S113" s="103">
        <v>-14.477512185929925</v>
      </c>
      <c r="T113" s="97">
        <f t="shared" si="84"/>
        <v>-0.36974999999999991</v>
      </c>
      <c r="U113" s="93">
        <f t="shared" si="86"/>
        <v>16.858205844290641</v>
      </c>
      <c r="V113" s="93">
        <f t="shared" si="55"/>
        <v>-14.477512185929925</v>
      </c>
      <c r="W113" s="38">
        <f t="shared" si="80"/>
        <v>8.7000000000000011</v>
      </c>
      <c r="X113" s="38">
        <f t="shared" si="81"/>
        <v>0.76245006007799954</v>
      </c>
      <c r="Y113" s="38">
        <f t="shared" si="58"/>
        <v>568.98</v>
      </c>
      <c r="Z113" s="38">
        <f t="shared" si="59"/>
        <v>-1778.0625</v>
      </c>
      <c r="AA113" s="38">
        <f t="shared" si="60"/>
        <v>-1199.620049939922</v>
      </c>
      <c r="AB113" s="38">
        <f t="shared" si="61"/>
        <v>-1774.2380538611442</v>
      </c>
      <c r="AC113" s="38">
        <f t="shared" si="71"/>
        <v>148974.23805386113</v>
      </c>
      <c r="AD113" s="126">
        <f t="shared" si="62"/>
        <v>5.3243999999999989</v>
      </c>
      <c r="AE113" s="126">
        <f t="shared" si="63"/>
        <v>8.2662200000000005E-2</v>
      </c>
      <c r="AF113" s="126">
        <f t="shared" si="48"/>
        <v>1560.5516833192355</v>
      </c>
      <c r="AG113" s="126">
        <f t="shared" si="49"/>
        <v>0</v>
      </c>
      <c r="AH113" s="126">
        <f t="shared" si="64"/>
        <v>855.51638363885525</v>
      </c>
      <c r="AI113" s="126">
        <f t="shared" si="65"/>
        <v>-2629.7544374999993</v>
      </c>
      <c r="AJ113" s="126">
        <f t="shared" si="50"/>
        <v>0</v>
      </c>
      <c r="AK113" s="126">
        <f t="shared" si="51"/>
        <v>0</v>
      </c>
      <c r="AL113" s="126">
        <f t="shared" si="52"/>
        <v>-1774.2380538611442</v>
      </c>
      <c r="AM113" s="126">
        <f t="shared" si="79"/>
        <v>0</v>
      </c>
      <c r="AN113" s="126">
        <f t="shared" si="75"/>
        <v>0</v>
      </c>
      <c r="AO113" s="126">
        <f t="shared" si="53"/>
        <v>1417.616205035054</v>
      </c>
      <c r="AP113" s="126">
        <f t="shared" si="72"/>
        <v>21.148394615230245</v>
      </c>
      <c r="AQ113" s="126">
        <f t="shared" si="66"/>
        <v>85.275784738831632</v>
      </c>
      <c r="AR113" s="126">
        <f t="shared" si="73"/>
        <v>0</v>
      </c>
      <c r="AS113" s="122"/>
      <c r="AT113" s="122"/>
      <c r="AU113" s="122"/>
      <c r="AV113" s="122"/>
      <c r="AW113" s="122"/>
      <c r="AX113" s="122"/>
      <c r="AY113" s="122"/>
      <c r="AZ113" s="122"/>
      <c r="BA113" s="122"/>
      <c r="BB113" s="122"/>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c r="CB113" s="69"/>
      <c r="CC113" s="69"/>
      <c r="CD113" s="69"/>
      <c r="CE113" s="69"/>
      <c r="CF113" s="69"/>
      <c r="CG113" s="69"/>
      <c r="CH113" s="69"/>
      <c r="CI113" s="69"/>
      <c r="CJ113" s="69"/>
      <c r="CK113" s="69"/>
      <c r="CL113" s="69"/>
      <c r="CM113" s="69"/>
      <c r="CN113" s="69"/>
      <c r="CO113" s="69"/>
      <c r="CP113" s="69"/>
      <c r="CQ113" s="69"/>
      <c r="CR113" s="69"/>
      <c r="CS113" s="69"/>
      <c r="CT113" s="69"/>
      <c r="CU113" s="69"/>
      <c r="CV113" s="69"/>
      <c r="CW113" s="69"/>
    </row>
    <row r="114" spans="1:101" ht="19.5" x14ac:dyDescent="0.35">
      <c r="A114" s="122"/>
      <c r="B114" s="122"/>
      <c r="C114" s="122"/>
      <c r="D114" s="122"/>
      <c r="E114" s="122"/>
      <c r="F114" s="122"/>
      <c r="G114" s="122"/>
      <c r="H114" s="122"/>
      <c r="I114" s="122"/>
      <c r="J114" s="122"/>
      <c r="K114" s="38">
        <v>1</v>
      </c>
      <c r="L114" s="98">
        <v>29</v>
      </c>
      <c r="M114" s="103">
        <v>6.0000000000000001E-3</v>
      </c>
      <c r="N114" s="38">
        <f t="shared" si="87"/>
        <v>7.8293208064200426E-2</v>
      </c>
      <c r="O114" s="38">
        <f t="shared" si="74"/>
        <v>1.4849999999999997</v>
      </c>
      <c r="P114" s="38">
        <f t="shared" si="54"/>
        <v>3.3219449999999995</v>
      </c>
      <c r="Q114" s="38">
        <f t="shared" si="68"/>
        <v>1.4849999999999997</v>
      </c>
      <c r="R114" s="100">
        <f t="shared" si="85"/>
        <v>192.27900000000002</v>
      </c>
      <c r="S114" s="103">
        <v>0</v>
      </c>
      <c r="T114" s="97">
        <f>Q114*(SIN(RADIANS(S114)))</f>
        <v>0</v>
      </c>
      <c r="U114" s="100">
        <f t="shared" si="86"/>
        <v>16.858205844290641</v>
      </c>
      <c r="V114" s="93">
        <f t="shared" si="55"/>
        <v>0</v>
      </c>
      <c r="W114" s="38">
        <f t="shared" si="80"/>
        <v>4.3500000000000005</v>
      </c>
      <c r="X114" s="38">
        <f t="shared" si="81"/>
        <v>0.76864881554999964</v>
      </c>
      <c r="Y114" s="38">
        <f t="shared" si="58"/>
        <v>568.98</v>
      </c>
      <c r="Z114" s="38">
        <f t="shared" si="59"/>
        <v>0</v>
      </c>
      <c r="AA114" s="38">
        <f t="shared" si="60"/>
        <v>574.09864881555006</v>
      </c>
      <c r="AB114" s="38">
        <f t="shared" si="61"/>
        <v>852.53649349109162</v>
      </c>
      <c r="AC114" s="38">
        <f t="shared" si="71"/>
        <v>146347.46350650891</v>
      </c>
      <c r="AD114" s="126">
        <f t="shared" si="62"/>
        <v>5.3459999999999992</v>
      </c>
      <c r="AE114" s="126">
        <f t="shared" si="63"/>
        <v>8.267300000000001E-2</v>
      </c>
      <c r="AF114" s="126">
        <f t="shared" si="48"/>
        <v>1567.2944229972031</v>
      </c>
      <c r="AG114" s="126">
        <f t="shared" si="49"/>
        <v>852.53649349109162</v>
      </c>
      <c r="AH114" s="126">
        <f t="shared" si="64"/>
        <v>852.53649349109162</v>
      </c>
      <c r="AI114" s="126">
        <f t="shared" si="65"/>
        <v>0</v>
      </c>
      <c r="AJ114" s="126">
        <f t="shared" si="50"/>
        <v>0</v>
      </c>
      <c r="AK114" s="126">
        <f t="shared" si="51"/>
        <v>0</v>
      </c>
      <c r="AL114" s="126">
        <f t="shared" si="52"/>
        <v>852.53649349109162</v>
      </c>
      <c r="AM114" s="126">
        <f t="shared" si="79"/>
        <v>1067.0043723292763</v>
      </c>
      <c r="AN114" s="126">
        <f t="shared" si="75"/>
        <v>852.53649349109162</v>
      </c>
      <c r="AO114" s="126">
        <f t="shared" si="53"/>
        <v>0</v>
      </c>
      <c r="AP114" s="126">
        <f t="shared" si="72"/>
        <v>20.970560553175364</v>
      </c>
      <c r="AQ114" s="126">
        <f t="shared" si="66"/>
        <v>84.558711907965176</v>
      </c>
      <c r="AR114" s="126">
        <f t="shared" si="73"/>
        <v>0</v>
      </c>
      <c r="AS114" s="122"/>
      <c r="AT114" s="122"/>
      <c r="AU114" s="122"/>
      <c r="AV114" s="122"/>
      <c r="AW114" s="122"/>
      <c r="AX114" s="122"/>
      <c r="AY114" s="122"/>
      <c r="AZ114" s="122"/>
      <c r="BA114" s="122"/>
      <c r="BB114" s="122"/>
      <c r="BC114" s="69"/>
      <c r="BD114" s="69"/>
      <c r="BE114" s="69"/>
      <c r="BF114" s="69"/>
      <c r="BG114" s="69"/>
      <c r="BH114" s="69"/>
      <c r="BI114" s="69"/>
      <c r="BJ114" s="69"/>
      <c r="BK114" s="69"/>
      <c r="BL114" s="69"/>
      <c r="BM114" s="69"/>
      <c r="BN114" s="69"/>
      <c r="BO114" s="69"/>
      <c r="BP114" s="69"/>
      <c r="BQ114" s="69"/>
      <c r="BR114" s="69"/>
      <c r="BS114" s="69"/>
      <c r="BT114" s="69"/>
      <c r="BU114" s="69"/>
      <c r="BV114" s="69"/>
      <c r="BW114" s="69"/>
      <c r="BX114" s="69"/>
      <c r="BY114" s="69"/>
      <c r="BZ114" s="69"/>
      <c r="CA114" s="69"/>
      <c r="CB114" s="69"/>
      <c r="CC114" s="69"/>
      <c r="CD114" s="69"/>
      <c r="CE114" s="69"/>
      <c r="CF114" s="69"/>
      <c r="CG114" s="69"/>
      <c r="CH114" s="69"/>
      <c r="CI114" s="69"/>
      <c r="CJ114" s="69"/>
      <c r="CK114" s="69"/>
      <c r="CL114" s="69"/>
      <c r="CM114" s="69"/>
      <c r="CN114" s="69"/>
      <c r="CO114" s="69"/>
      <c r="CP114" s="69"/>
      <c r="CQ114" s="69"/>
      <c r="CR114" s="69"/>
      <c r="CS114" s="69"/>
      <c r="CT114" s="69"/>
      <c r="CU114" s="69"/>
      <c r="CV114" s="69"/>
      <c r="CW114" s="69"/>
    </row>
    <row r="115" spans="1:101" ht="19.5" x14ac:dyDescent="0.35">
      <c r="A115" s="122"/>
      <c r="B115" s="122"/>
      <c r="C115" s="122"/>
      <c r="D115" s="122"/>
      <c r="E115" s="122"/>
      <c r="F115" s="122"/>
      <c r="G115" s="122"/>
      <c r="H115" s="122"/>
      <c r="I115" s="122"/>
      <c r="J115" s="122"/>
      <c r="K115" s="38">
        <v>1</v>
      </c>
      <c r="L115" s="38">
        <v>30</v>
      </c>
      <c r="M115" s="103">
        <v>2.6</v>
      </c>
      <c r="N115" s="38">
        <f t="shared" si="87"/>
        <v>33.927056827820188</v>
      </c>
      <c r="O115" s="38">
        <f t="shared" si="74"/>
        <v>4.085</v>
      </c>
      <c r="P115" s="38">
        <f t="shared" si="54"/>
        <v>9.1381449999999997</v>
      </c>
      <c r="Q115" s="38">
        <f t="shared" si="68"/>
        <v>4.085</v>
      </c>
      <c r="R115" s="93">
        <f t="shared" si="85"/>
        <v>196.36400000000003</v>
      </c>
      <c r="S115" s="103">
        <v>0</v>
      </c>
      <c r="T115" s="97">
        <f t="shared" ref="T115:T155" si="88">Q115*(SIN(RADIANS(S115)))</f>
        <v>0</v>
      </c>
      <c r="U115" s="93">
        <f t="shared" si="86"/>
        <v>16.858205844290641</v>
      </c>
      <c r="V115" s="93">
        <f t="shared" si="55"/>
        <v>0</v>
      </c>
      <c r="W115" s="38">
        <f t="shared" si="80"/>
        <v>1885</v>
      </c>
      <c r="X115" s="38">
        <f t="shared" si="81"/>
        <v>5.816465771549999</v>
      </c>
      <c r="Y115" s="38">
        <f t="shared" si="58"/>
        <v>568.98</v>
      </c>
      <c r="Z115" s="38">
        <f t="shared" si="59"/>
        <v>0</v>
      </c>
      <c r="AA115" s="38">
        <f t="shared" si="60"/>
        <v>2459.7964657715502</v>
      </c>
      <c r="AB115" s="38">
        <f t="shared" si="61"/>
        <v>10048.268562676782</v>
      </c>
      <c r="AC115" s="38">
        <f t="shared" si="71"/>
        <v>137151.73143732321</v>
      </c>
      <c r="AD115" s="126">
        <f t="shared" si="62"/>
        <v>14.706</v>
      </c>
      <c r="AE115" s="126">
        <f t="shared" si="63"/>
        <v>8.7353E-2</v>
      </c>
      <c r="AF115" s="126">
        <f t="shared" si="48"/>
        <v>5023.0653223501049</v>
      </c>
      <c r="AG115" s="126">
        <f t="shared" si="49"/>
        <v>10048.268562676782</v>
      </c>
      <c r="AH115" s="126">
        <f t="shared" si="64"/>
        <v>10048.268562676782</v>
      </c>
      <c r="AI115" s="126">
        <f t="shared" si="65"/>
        <v>0</v>
      </c>
      <c r="AJ115" s="126">
        <f t="shared" si="50"/>
        <v>1</v>
      </c>
      <c r="AK115" s="126">
        <f t="shared" si="51"/>
        <v>34000</v>
      </c>
      <c r="AL115" s="126">
        <f t="shared" si="52"/>
        <v>-23951.731437323218</v>
      </c>
      <c r="AM115" s="126">
        <f t="shared" si="79"/>
        <v>0</v>
      </c>
      <c r="AN115" s="126">
        <f t="shared" si="75"/>
        <v>0</v>
      </c>
      <c r="AO115" s="126">
        <f t="shared" si="53"/>
        <v>19137.433418421249</v>
      </c>
      <c r="AP115" s="126">
        <f t="shared" si="72"/>
        <v>24.160132789578906</v>
      </c>
      <c r="AQ115" s="126">
        <f t="shared" si="66"/>
        <v>97.419890280560111</v>
      </c>
      <c r="AR115" s="126">
        <f t="shared" si="73"/>
        <v>0</v>
      </c>
      <c r="AS115" s="122"/>
      <c r="AT115" s="122"/>
      <c r="AU115" s="122"/>
      <c r="AV115" s="122"/>
      <c r="AW115" s="122"/>
      <c r="AX115" s="122"/>
      <c r="AY115" s="122"/>
      <c r="AZ115" s="122"/>
      <c r="BA115" s="122"/>
      <c r="BB115" s="122"/>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c r="CB115" s="69"/>
      <c r="CC115" s="69"/>
      <c r="CD115" s="69"/>
      <c r="CE115" s="69"/>
      <c r="CF115" s="69"/>
      <c r="CG115" s="69"/>
      <c r="CH115" s="69"/>
      <c r="CI115" s="69"/>
      <c r="CJ115" s="69"/>
      <c r="CK115" s="69"/>
      <c r="CL115" s="69"/>
      <c r="CM115" s="69"/>
      <c r="CN115" s="69"/>
      <c r="CO115" s="69"/>
      <c r="CP115" s="69"/>
      <c r="CQ115" s="69"/>
      <c r="CR115" s="69"/>
      <c r="CS115" s="69"/>
      <c r="CT115" s="69"/>
      <c r="CU115" s="69"/>
      <c r="CV115" s="69"/>
      <c r="CW115" s="69"/>
    </row>
    <row r="116" spans="1:101" ht="19.5" x14ac:dyDescent="0.35">
      <c r="A116" s="122"/>
      <c r="B116" s="122"/>
      <c r="C116" s="122"/>
      <c r="D116" s="122"/>
      <c r="E116" s="122"/>
      <c r="F116" s="122"/>
      <c r="G116" s="122"/>
      <c r="H116" s="122"/>
      <c r="I116" s="122"/>
      <c r="J116" s="122"/>
      <c r="K116" s="38">
        <v>1</v>
      </c>
      <c r="L116" s="38">
        <v>31</v>
      </c>
      <c r="M116" s="103">
        <v>4.9000000000000004</v>
      </c>
      <c r="N116" s="38">
        <f t="shared" si="87"/>
        <v>63.939453252430354</v>
      </c>
      <c r="O116" s="38">
        <f t="shared" si="74"/>
        <v>8.9849999999999994</v>
      </c>
      <c r="P116" s="38">
        <f t="shared" si="54"/>
        <v>20.099444999999999</v>
      </c>
      <c r="Q116" s="38">
        <f t="shared" si="68"/>
        <v>8.9849999999999994</v>
      </c>
      <c r="R116" s="93">
        <f t="shared" si="85"/>
        <v>205.34900000000005</v>
      </c>
      <c r="S116" s="103">
        <v>0</v>
      </c>
      <c r="T116" s="97">
        <f t="shared" si="88"/>
        <v>0</v>
      </c>
      <c r="U116" s="93">
        <f t="shared" si="86"/>
        <v>16.858205844290641</v>
      </c>
      <c r="V116" s="93">
        <f t="shared" si="55"/>
        <v>0</v>
      </c>
      <c r="W116" s="38">
        <f t="shared" si="80"/>
        <v>3552.5000000000005</v>
      </c>
      <c r="X116" s="38">
        <f t="shared" si="81"/>
        <v>28.139165765549993</v>
      </c>
      <c r="Y116" s="38">
        <f t="shared" si="58"/>
        <v>568.98</v>
      </c>
      <c r="Z116" s="38">
        <f t="shared" si="59"/>
        <v>0</v>
      </c>
      <c r="AA116" s="38">
        <f t="shared" si="60"/>
        <v>4149.6191657655509</v>
      </c>
      <c r="AB116" s="38">
        <f t="shared" si="61"/>
        <v>37284.328204403471</v>
      </c>
      <c r="AC116" s="38">
        <f t="shared" si="71"/>
        <v>109915.67179559653</v>
      </c>
      <c r="AD116" s="126">
        <f t="shared" si="62"/>
        <v>32.345999999999997</v>
      </c>
      <c r="AE116" s="126">
        <f t="shared" si="63"/>
        <v>9.6173000000000008E-2</v>
      </c>
      <c r="AF116" s="126">
        <f t="shared" si="48"/>
        <v>16631.158047815163</v>
      </c>
      <c r="AG116" s="126">
        <f t="shared" si="49"/>
        <v>37284.328204403471</v>
      </c>
      <c r="AH116" s="126">
        <f t="shared" si="64"/>
        <v>37284.328204403471</v>
      </c>
      <c r="AI116" s="126">
        <f t="shared" si="65"/>
        <v>0</v>
      </c>
      <c r="AJ116" s="126">
        <f t="shared" si="50"/>
        <v>1</v>
      </c>
      <c r="AK116" s="126">
        <f t="shared" si="51"/>
        <v>34000</v>
      </c>
      <c r="AL116" s="126">
        <f t="shared" si="52"/>
        <v>3284.3282044034713</v>
      </c>
      <c r="AM116" s="126">
        <f t="shared" si="79"/>
        <v>4110.5484410556592</v>
      </c>
      <c r="AN116" s="126">
        <f t="shared" si="75"/>
        <v>3284.3282044034713</v>
      </c>
      <c r="AO116" s="126">
        <f t="shared" si="53"/>
        <v>0</v>
      </c>
      <c r="AP116" s="126">
        <f t="shared" si="72"/>
        <v>23.475041382736297</v>
      </c>
      <c r="AQ116" s="126">
        <f t="shared" si="66"/>
        <v>94.657424930388288</v>
      </c>
      <c r="AR116" s="126">
        <f t="shared" si="73"/>
        <v>0</v>
      </c>
      <c r="AS116" s="122"/>
      <c r="AT116" s="122"/>
      <c r="AU116" s="122"/>
      <c r="AV116" s="122"/>
      <c r="AW116" s="122"/>
      <c r="AX116" s="122"/>
      <c r="AY116" s="122"/>
      <c r="AZ116" s="122"/>
      <c r="BA116" s="122"/>
      <c r="BB116" s="122"/>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c r="CB116" s="69"/>
      <c r="CC116" s="69"/>
      <c r="CD116" s="69"/>
      <c r="CE116" s="69"/>
      <c r="CF116" s="69"/>
      <c r="CG116" s="69"/>
      <c r="CH116" s="69"/>
      <c r="CI116" s="69"/>
      <c r="CJ116" s="69"/>
      <c r="CK116" s="69"/>
      <c r="CL116" s="69"/>
      <c r="CM116" s="69"/>
      <c r="CN116" s="69"/>
      <c r="CO116" s="69"/>
      <c r="CP116" s="69"/>
      <c r="CQ116" s="69"/>
      <c r="CR116" s="69"/>
      <c r="CS116" s="69"/>
      <c r="CT116" s="69"/>
      <c r="CU116" s="69"/>
      <c r="CV116" s="69"/>
      <c r="CW116" s="69"/>
    </row>
    <row r="117" spans="1:101" ht="19.5" x14ac:dyDescent="0.35">
      <c r="A117" s="122"/>
      <c r="B117" s="122"/>
      <c r="C117" s="122"/>
      <c r="D117" s="122"/>
      <c r="E117" s="122"/>
      <c r="F117" s="122"/>
      <c r="G117" s="122"/>
      <c r="H117" s="122"/>
      <c r="I117" s="122"/>
      <c r="J117" s="122"/>
      <c r="K117" s="38">
        <v>1</v>
      </c>
      <c r="L117" s="38">
        <v>32</v>
      </c>
      <c r="M117" s="103">
        <v>5.3</v>
      </c>
      <c r="N117" s="38">
        <f t="shared" si="87"/>
        <v>69.159000456710373</v>
      </c>
      <c r="O117" s="38">
        <f t="shared" si="74"/>
        <v>14.285</v>
      </c>
      <c r="P117" s="38">
        <f t="shared" si="54"/>
        <v>31.955545000000001</v>
      </c>
      <c r="Q117" s="38">
        <f t="shared" si="68"/>
        <v>14.285</v>
      </c>
      <c r="R117" s="93">
        <f t="shared" si="85"/>
        <v>219.63400000000004</v>
      </c>
      <c r="S117" s="103">
        <v>0</v>
      </c>
      <c r="T117" s="97">
        <f t="shared" si="88"/>
        <v>0</v>
      </c>
      <c r="U117" s="93">
        <f t="shared" si="86"/>
        <v>16.858205844290641</v>
      </c>
      <c r="V117" s="93">
        <f t="shared" si="55"/>
        <v>0</v>
      </c>
      <c r="W117" s="38">
        <f t="shared" si="80"/>
        <v>3842.5</v>
      </c>
      <c r="X117" s="38">
        <f t="shared" si="81"/>
        <v>71.127172463549996</v>
      </c>
      <c r="Y117" s="38">
        <f t="shared" si="58"/>
        <v>568.98</v>
      </c>
      <c r="Z117" s="38">
        <f t="shared" si="59"/>
        <v>0</v>
      </c>
      <c r="AA117" s="38">
        <f t="shared" si="60"/>
        <v>4482.6071724635503</v>
      </c>
      <c r="AB117" s="38">
        <f t="shared" si="61"/>
        <v>64034.04345864182</v>
      </c>
      <c r="AC117" s="38">
        <f t="shared" si="71"/>
        <v>83165.956541358173</v>
      </c>
      <c r="AD117" s="126">
        <f t="shared" si="62"/>
        <v>51.426000000000002</v>
      </c>
      <c r="AE117" s="126">
        <f t="shared" si="63"/>
        <v>0.10571300000000002</v>
      </c>
      <c r="AF117" s="126">
        <f t="shared" ref="AF117:AF148" si="89">($AW$84*$AW$85*($G$89*$B$5*AE117+0.5*$B$3*$G$97*$G$96*AD117*AD117)*AD117)*$AW$93</f>
        <v>42199.389915939246</v>
      </c>
      <c r="AG117" s="126">
        <f t="shared" ref="AG117:AG148" si="90">COUNTIF(AB117,"&gt;0")*AB117</f>
        <v>64034.04345864182</v>
      </c>
      <c r="AH117" s="126">
        <f t="shared" si="64"/>
        <v>64034.043458641805</v>
      </c>
      <c r="AI117" s="126">
        <f t="shared" si="65"/>
        <v>0</v>
      </c>
      <c r="AJ117" s="126">
        <f t="shared" si="50"/>
        <v>1</v>
      </c>
      <c r="AK117" s="126">
        <f t="shared" ref="AK117:AK148" si="91">IF(AJ117,$AW$98,0)</f>
        <v>34000</v>
      </c>
      <c r="AL117" s="126">
        <f t="shared" ref="AL117:AL148" si="92">AB117-AK117</f>
        <v>30034.04345864182</v>
      </c>
      <c r="AM117" s="126">
        <f t="shared" si="79"/>
        <v>37589.541249864611</v>
      </c>
      <c r="AN117" s="126">
        <f t="shared" si="75"/>
        <v>30034.04345864182</v>
      </c>
      <c r="AO117" s="126">
        <f t="shared" ref="AO117:AO148" si="93">(COUNTIF(AL117,"&lt;1")*AL117)*-$AW$94</f>
        <v>0</v>
      </c>
      <c r="AP117" s="126">
        <f t="shared" si="72"/>
        <v>17.210117841092195</v>
      </c>
      <c r="AQ117" s="126">
        <f t="shared" si="66"/>
        <v>69.395636456016916</v>
      </c>
      <c r="AR117" s="126">
        <f t="shared" si="73"/>
        <v>0</v>
      </c>
      <c r="AS117" s="122"/>
      <c r="AT117" s="122"/>
      <c r="AU117" s="122"/>
      <c r="AV117" s="122"/>
      <c r="AW117" s="122"/>
      <c r="AX117" s="122"/>
      <c r="AY117" s="122"/>
      <c r="AZ117" s="122"/>
      <c r="BA117" s="122"/>
      <c r="BB117" s="122"/>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c r="CB117" s="69"/>
      <c r="CC117" s="69"/>
      <c r="CD117" s="69"/>
      <c r="CE117" s="69"/>
      <c r="CF117" s="69"/>
      <c r="CG117" s="69"/>
      <c r="CH117" s="69"/>
      <c r="CI117" s="69"/>
      <c r="CJ117" s="69"/>
      <c r="CK117" s="69"/>
      <c r="CL117" s="69"/>
      <c r="CM117" s="69"/>
      <c r="CN117" s="69"/>
      <c r="CO117" s="69"/>
      <c r="CP117" s="69"/>
      <c r="CQ117" s="69"/>
      <c r="CR117" s="69"/>
      <c r="CS117" s="69"/>
      <c r="CT117" s="69"/>
      <c r="CU117" s="69"/>
      <c r="CV117" s="69"/>
      <c r="CW117" s="69"/>
    </row>
    <row r="118" spans="1:101" ht="19.5" x14ac:dyDescent="0.35">
      <c r="A118" s="122"/>
      <c r="B118" s="122"/>
      <c r="C118" s="122"/>
      <c r="D118" s="122"/>
      <c r="E118" s="122"/>
      <c r="F118" s="122"/>
      <c r="G118" s="122"/>
      <c r="H118" s="122"/>
      <c r="I118" s="122"/>
      <c r="J118" s="122"/>
      <c r="K118" s="38">
        <v>1</v>
      </c>
      <c r="L118" s="38">
        <v>33</v>
      </c>
      <c r="M118" s="112">
        <v>1.5</v>
      </c>
      <c r="N118" s="38">
        <f t="shared" si="87"/>
        <v>19.573302016050107</v>
      </c>
      <c r="O118" s="38">
        <f t="shared" si="74"/>
        <v>15.785</v>
      </c>
      <c r="P118" s="38">
        <f t="shared" si="54"/>
        <v>35.311045</v>
      </c>
      <c r="Q118" s="38">
        <f t="shared" si="68"/>
        <v>15.785</v>
      </c>
      <c r="R118" s="93">
        <f t="shared" si="85"/>
        <v>235.41900000000004</v>
      </c>
      <c r="S118" s="103">
        <v>0</v>
      </c>
      <c r="T118" s="97">
        <f t="shared" si="88"/>
        <v>0</v>
      </c>
      <c r="U118" s="93">
        <f t="shared" si="86"/>
        <v>16.858205844290641</v>
      </c>
      <c r="V118" s="93">
        <f t="shared" si="55"/>
        <v>0</v>
      </c>
      <c r="W118" s="38">
        <f t="shared" si="80"/>
        <v>1087.5</v>
      </c>
      <c r="X118" s="38">
        <f t="shared" si="81"/>
        <v>86.848881053549988</v>
      </c>
      <c r="Y118" s="38">
        <f t="shared" si="58"/>
        <v>568.98</v>
      </c>
      <c r="Z118" s="38">
        <f t="shared" si="59"/>
        <v>0</v>
      </c>
      <c r="AA118" s="38">
        <f t="shared" si="60"/>
        <v>1743.32888105355</v>
      </c>
      <c r="AB118" s="38">
        <f t="shared" si="61"/>
        <v>27518.446387430289</v>
      </c>
      <c r="AC118" s="38">
        <f t="shared" si="71"/>
        <v>119681.55361256971</v>
      </c>
      <c r="AD118" s="126">
        <f t="shared" si="62"/>
        <v>56.826000000000001</v>
      </c>
      <c r="AE118" s="126">
        <f t="shared" si="63"/>
        <v>0.10841300000000001</v>
      </c>
      <c r="AF118" s="126">
        <f t="shared" si="89"/>
        <v>52842.410067843499</v>
      </c>
      <c r="AG118" s="126">
        <f t="shared" si="90"/>
        <v>27518.446387430289</v>
      </c>
      <c r="AH118" s="126">
        <f t="shared" si="64"/>
        <v>27518.446387430289</v>
      </c>
      <c r="AI118" s="126">
        <f t="shared" si="65"/>
        <v>0</v>
      </c>
      <c r="AJ118" s="126">
        <f t="shared" si="50"/>
        <v>1</v>
      </c>
      <c r="AK118" s="126">
        <f t="shared" si="91"/>
        <v>34000</v>
      </c>
      <c r="AL118" s="126">
        <f t="shared" si="92"/>
        <v>-6481.5536125697108</v>
      </c>
      <c r="AM118" s="126">
        <f t="shared" si="79"/>
        <v>0</v>
      </c>
      <c r="AN118" s="126">
        <f t="shared" si="75"/>
        <v>0</v>
      </c>
      <c r="AO118" s="126">
        <f t="shared" si="93"/>
        <v>5178.7613364431982</v>
      </c>
      <c r="AP118" s="126">
        <f t="shared" si="72"/>
        <v>18.073244730499397</v>
      </c>
      <c r="AQ118" s="126">
        <f t="shared" si="66"/>
        <v>72.875986816529831</v>
      </c>
      <c r="AR118" s="126">
        <f t="shared" si="73"/>
        <v>0</v>
      </c>
      <c r="AS118" s="122"/>
      <c r="AT118" s="122"/>
      <c r="AU118" s="122"/>
      <c r="AV118" s="122"/>
      <c r="AW118" s="122"/>
      <c r="AX118" s="122"/>
      <c r="AY118" s="122"/>
      <c r="AZ118" s="122"/>
      <c r="BA118" s="122"/>
      <c r="BB118" s="122"/>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c r="CB118" s="69"/>
      <c r="CC118" s="69"/>
      <c r="CD118" s="69"/>
      <c r="CE118" s="69"/>
      <c r="CF118" s="69"/>
      <c r="CG118" s="69"/>
      <c r="CH118" s="69"/>
      <c r="CI118" s="69"/>
      <c r="CJ118" s="69"/>
      <c r="CK118" s="69"/>
      <c r="CL118" s="69"/>
      <c r="CM118" s="69"/>
      <c r="CN118" s="69"/>
      <c r="CO118" s="69"/>
      <c r="CP118" s="69"/>
      <c r="CQ118" s="69"/>
      <c r="CR118" s="69"/>
      <c r="CS118" s="69"/>
      <c r="CT118" s="69"/>
      <c r="CU118" s="69"/>
      <c r="CV118" s="69"/>
      <c r="CW118" s="69"/>
    </row>
    <row r="119" spans="1:101" ht="19.5" x14ac:dyDescent="0.35">
      <c r="A119" s="122"/>
      <c r="B119" s="122"/>
      <c r="C119" s="122"/>
      <c r="D119" s="122"/>
      <c r="E119" s="122"/>
      <c r="F119" s="122"/>
      <c r="G119" s="122"/>
      <c r="H119" s="122"/>
      <c r="I119" s="122"/>
      <c r="J119" s="122"/>
      <c r="K119" s="38">
        <v>1</v>
      </c>
      <c r="L119" s="38">
        <v>34</v>
      </c>
      <c r="M119" s="113">
        <v>-0.8</v>
      </c>
      <c r="N119" s="41">
        <f t="shared" si="87"/>
        <v>-10.439094408560058</v>
      </c>
      <c r="O119" s="38">
        <f t="shared" si="74"/>
        <v>14.984999999999999</v>
      </c>
      <c r="P119" s="38">
        <f t="shared" si="54"/>
        <v>33.521445</v>
      </c>
      <c r="Q119" s="38">
        <f t="shared" si="68"/>
        <v>14.984999999999999</v>
      </c>
      <c r="R119" s="93">
        <f t="shared" si="85"/>
        <v>250.40400000000005</v>
      </c>
      <c r="S119" s="103">
        <v>0</v>
      </c>
      <c r="T119" s="97">
        <f t="shared" si="88"/>
        <v>0</v>
      </c>
      <c r="U119" s="93">
        <f t="shared" si="86"/>
        <v>16.858205844290641</v>
      </c>
      <c r="V119" s="93">
        <f t="shared" si="55"/>
        <v>0</v>
      </c>
      <c r="W119" s="41">
        <f t="shared" si="80"/>
        <v>-580</v>
      </c>
      <c r="X119" s="38">
        <f t="shared" si="81"/>
        <v>78.268777325549991</v>
      </c>
      <c r="Y119" s="38">
        <f t="shared" si="58"/>
        <v>568.98</v>
      </c>
      <c r="Z119" s="38">
        <f t="shared" si="59"/>
        <v>0</v>
      </c>
      <c r="AA119" s="38">
        <f t="shared" si="60"/>
        <v>67.248777325550009</v>
      </c>
      <c r="AB119" s="38">
        <f t="shared" si="61"/>
        <v>1007.7229282233668</v>
      </c>
      <c r="AC119" s="38">
        <f t="shared" si="71"/>
        <v>146192.27707177663</v>
      </c>
      <c r="AD119" s="126">
        <f t="shared" si="62"/>
        <v>53.945999999999998</v>
      </c>
      <c r="AE119" s="126">
        <f t="shared" si="63"/>
        <v>0.106973</v>
      </c>
      <c r="AF119" s="126">
        <f t="shared" si="89"/>
        <v>46952.306359629598</v>
      </c>
      <c r="AG119" s="126">
        <f t="shared" si="90"/>
        <v>1007.7229282233668</v>
      </c>
      <c r="AH119" s="126">
        <f t="shared" si="64"/>
        <v>9699.0229282233668</v>
      </c>
      <c r="AI119" s="126">
        <f t="shared" si="65"/>
        <v>-8691.2999999999993</v>
      </c>
      <c r="AJ119" s="126">
        <f t="shared" si="50"/>
        <v>0</v>
      </c>
      <c r="AK119" s="126">
        <f t="shared" si="91"/>
        <v>0</v>
      </c>
      <c r="AL119" s="126">
        <f t="shared" si="92"/>
        <v>1007.7229282233668</v>
      </c>
      <c r="AM119" s="126">
        <f t="shared" si="79"/>
        <v>1261.2301980267421</v>
      </c>
      <c r="AN119" s="126">
        <f t="shared" si="75"/>
        <v>1007.7229282233668</v>
      </c>
      <c r="AO119" s="126">
        <f t="shared" si="93"/>
        <v>0</v>
      </c>
      <c r="AP119" s="126">
        <f t="shared" si="72"/>
        <v>17.863039697494941</v>
      </c>
      <c r="AQ119" s="126">
        <f t="shared" si="66"/>
        <v>72.028385876995728</v>
      </c>
      <c r="AR119" s="126">
        <f t="shared" si="73"/>
        <v>0</v>
      </c>
      <c r="AS119" s="122"/>
      <c r="AT119" s="122"/>
      <c r="AU119" s="122"/>
      <c r="AV119" s="122"/>
      <c r="AW119" s="122"/>
      <c r="AX119" s="122"/>
      <c r="AY119" s="122"/>
      <c r="AZ119" s="122"/>
      <c r="BA119" s="122"/>
      <c r="BB119" s="122"/>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c r="CB119" s="69"/>
      <c r="CC119" s="69"/>
      <c r="CD119" s="69"/>
      <c r="CE119" s="69"/>
      <c r="CF119" s="69"/>
      <c r="CG119" s="69"/>
      <c r="CH119" s="69"/>
      <c r="CI119" s="69"/>
      <c r="CJ119" s="69"/>
      <c r="CK119" s="69"/>
      <c r="CL119" s="69"/>
      <c r="CM119" s="69"/>
      <c r="CN119" s="69"/>
      <c r="CO119" s="69"/>
      <c r="CP119" s="69"/>
      <c r="CQ119" s="69"/>
      <c r="CR119" s="69"/>
      <c r="CS119" s="69"/>
      <c r="CT119" s="69"/>
      <c r="CU119" s="69"/>
      <c r="CV119" s="69"/>
      <c r="CW119" s="69"/>
    </row>
    <row r="120" spans="1:101" ht="19.5" x14ac:dyDescent="0.35">
      <c r="A120" s="122"/>
      <c r="B120" s="122"/>
      <c r="C120" s="122"/>
      <c r="D120" s="122"/>
      <c r="E120" s="122"/>
      <c r="F120" s="122"/>
      <c r="G120" s="122"/>
      <c r="H120" s="122"/>
      <c r="I120" s="122"/>
      <c r="J120" s="122"/>
      <c r="K120" s="38">
        <v>1</v>
      </c>
      <c r="L120" s="38">
        <v>35</v>
      </c>
      <c r="M120" s="112">
        <v>-1.51</v>
      </c>
      <c r="N120" s="38">
        <f t="shared" si="87"/>
        <v>-19.703790696157107</v>
      </c>
      <c r="O120" s="38">
        <f t="shared" si="74"/>
        <v>13.475</v>
      </c>
      <c r="P120" s="38">
        <f t="shared" si="54"/>
        <v>30.143575000000002</v>
      </c>
      <c r="Q120" s="38">
        <f t="shared" si="68"/>
        <v>13.475</v>
      </c>
      <c r="R120" s="100">
        <f t="shared" si="85"/>
        <v>263.87900000000008</v>
      </c>
      <c r="S120" s="103">
        <v>-7.4947174539266861</v>
      </c>
      <c r="T120" s="97">
        <f t="shared" si="88"/>
        <v>-1.7576086956521739</v>
      </c>
      <c r="U120" s="100">
        <f t="shared" si="86"/>
        <v>15.100597148638467</v>
      </c>
      <c r="V120" s="93">
        <f t="shared" si="55"/>
        <v>-7.4947174539266861</v>
      </c>
      <c r="W120" s="38">
        <f t="shared" si="80"/>
        <v>-1094.75</v>
      </c>
      <c r="X120" s="38">
        <f t="shared" si="81"/>
        <v>63.289636698749995</v>
      </c>
      <c r="Y120" s="38">
        <f>$E$6*$B$5*$B$4</f>
        <v>568.98</v>
      </c>
      <c r="Z120" s="38">
        <f t="shared" si="59"/>
        <v>-927.68478260869563</v>
      </c>
      <c r="AA120" s="38">
        <f t="shared" si="60"/>
        <v>-1390.1651459099457</v>
      </c>
      <c r="AB120" s="38">
        <f t="shared" si="61"/>
        <v>-18732.47534113652</v>
      </c>
      <c r="AC120" s="38">
        <f t="shared" si="71"/>
        <v>165932.47534113651</v>
      </c>
      <c r="AD120" s="126">
        <f t="shared" si="62"/>
        <v>48.51</v>
      </c>
      <c r="AE120" s="126">
        <f t="shared" si="63"/>
        <v>0.104255</v>
      </c>
      <c r="AF120" s="126">
        <f t="shared" si="89"/>
        <v>37144.078727316737</v>
      </c>
      <c r="AG120" s="126">
        <f t="shared" si="90"/>
        <v>0</v>
      </c>
      <c r="AH120" s="126">
        <f t="shared" si="64"/>
        <v>8519.8333545156565</v>
      </c>
      <c r="AI120" s="126">
        <f t="shared" si="65"/>
        <v>-27252.308695652173</v>
      </c>
      <c r="AJ120" s="126">
        <f t="shared" si="50"/>
        <v>0</v>
      </c>
      <c r="AK120" s="126">
        <f t="shared" si="91"/>
        <v>0</v>
      </c>
      <c r="AL120" s="126">
        <f t="shared" si="92"/>
        <v>-18732.47534113652</v>
      </c>
      <c r="AM120" s="126">
        <f t="shared" si="79"/>
        <v>0</v>
      </c>
      <c r="AN120" s="126">
        <f t="shared" si="75"/>
        <v>0</v>
      </c>
      <c r="AO120" s="126">
        <f t="shared" si="93"/>
        <v>14967.247797568078</v>
      </c>
      <c r="AP120" s="126">
        <f t="shared" si="72"/>
        <v>20.35758099708962</v>
      </c>
      <c r="AQ120" s="126">
        <f t="shared" si="66"/>
        <v>82.087020149554917</v>
      </c>
      <c r="AR120" s="126">
        <f t="shared" si="73"/>
        <v>0</v>
      </c>
      <c r="AS120" s="122"/>
      <c r="AT120" s="122"/>
      <c r="AU120" s="122"/>
      <c r="AV120" s="122"/>
      <c r="AW120" s="122"/>
      <c r="AX120" s="122"/>
      <c r="AY120" s="122"/>
      <c r="AZ120" s="122"/>
      <c r="BA120" s="122"/>
      <c r="BB120" s="122"/>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c r="CB120" s="69"/>
      <c r="CC120" s="69"/>
      <c r="CD120" s="69"/>
      <c r="CE120" s="69"/>
      <c r="CF120" s="69"/>
      <c r="CG120" s="69"/>
      <c r="CH120" s="69"/>
      <c r="CI120" s="69"/>
      <c r="CJ120" s="69"/>
      <c r="CK120" s="69"/>
      <c r="CL120" s="69"/>
      <c r="CM120" s="69"/>
      <c r="CN120" s="69"/>
      <c r="CO120" s="69"/>
      <c r="CP120" s="69"/>
      <c r="CQ120" s="69"/>
      <c r="CR120" s="69"/>
      <c r="CS120" s="69"/>
      <c r="CT120" s="69"/>
      <c r="CU120" s="69"/>
      <c r="CV120" s="69"/>
      <c r="CW120" s="69"/>
    </row>
    <row r="121" spans="1:101" ht="19.5" x14ac:dyDescent="0.35">
      <c r="A121" s="122"/>
      <c r="B121" s="122"/>
      <c r="C121" s="122"/>
      <c r="D121" s="122"/>
      <c r="E121" s="122"/>
      <c r="F121" s="122"/>
      <c r="G121" s="122"/>
      <c r="H121" s="122"/>
      <c r="I121" s="122"/>
      <c r="J121" s="122"/>
      <c r="K121" s="38">
        <v>1</v>
      </c>
      <c r="L121" s="38">
        <v>36</v>
      </c>
      <c r="M121" s="111">
        <v>-2.8</v>
      </c>
      <c r="N121" s="38">
        <f t="shared" si="87"/>
        <v>-36.536830429960197</v>
      </c>
      <c r="O121" s="38">
        <f t="shared" si="74"/>
        <v>10.675000000000001</v>
      </c>
      <c r="P121" s="38">
        <f t="shared" si="54"/>
        <v>23.879975000000002</v>
      </c>
      <c r="Q121" s="38">
        <f t="shared" si="68"/>
        <v>10.675000000000001</v>
      </c>
      <c r="R121" s="93">
        <f t="shared" si="85"/>
        <v>274.55400000000009</v>
      </c>
      <c r="S121" s="103">
        <v>-7.4947174539266861</v>
      </c>
      <c r="T121" s="97">
        <f t="shared" si="88"/>
        <v>-1.3923913043478262</v>
      </c>
      <c r="U121" s="93">
        <f t="shared" si="86"/>
        <v>13.70820584429064</v>
      </c>
      <c r="V121" s="93">
        <f t="shared" si="55"/>
        <v>-7.4947174539266861</v>
      </c>
      <c r="W121" s="38">
        <f t="shared" si="80"/>
        <v>-2029.9999999999998</v>
      </c>
      <c r="X121" s="38">
        <f t="shared" si="81"/>
        <v>39.720144738750001</v>
      </c>
      <c r="Y121" s="38">
        <f t="shared" si="58"/>
        <v>568.98</v>
      </c>
      <c r="Z121" s="38">
        <f t="shared" si="59"/>
        <v>-927.68478260869563</v>
      </c>
      <c r="AA121" s="38">
        <f t="shared" si="60"/>
        <v>-2348.9846378699453</v>
      </c>
      <c r="AB121" s="38">
        <f t="shared" si="61"/>
        <v>-25075.411009261668</v>
      </c>
      <c r="AC121" s="38">
        <f t="shared" si="71"/>
        <v>172275.41100926168</v>
      </c>
      <c r="AD121" s="126">
        <f t="shared" si="62"/>
        <v>38.430000000000007</v>
      </c>
      <c r="AE121" s="126">
        <f t="shared" si="63"/>
        <v>9.9214999999999998E-2</v>
      </c>
      <c r="AF121" s="126">
        <f t="shared" si="89"/>
        <v>22994.961437941733</v>
      </c>
      <c r="AG121" s="126">
        <f t="shared" si="90"/>
        <v>0</v>
      </c>
      <c r="AH121" s="126">
        <f t="shared" si="64"/>
        <v>6497.8740450861569</v>
      </c>
      <c r="AI121" s="126">
        <f t="shared" si="65"/>
        <v>-31573.285054347827</v>
      </c>
      <c r="AJ121" s="126">
        <f t="shared" si="50"/>
        <v>0</v>
      </c>
      <c r="AK121" s="126">
        <f t="shared" si="91"/>
        <v>0</v>
      </c>
      <c r="AL121" s="126">
        <f t="shared" si="92"/>
        <v>-25075.411009261668</v>
      </c>
      <c r="AM121" s="126">
        <f t="shared" si="79"/>
        <v>0</v>
      </c>
      <c r="AN121" s="126">
        <f t="shared" si="75"/>
        <v>0</v>
      </c>
      <c r="AO121" s="126">
        <f t="shared" si="93"/>
        <v>20035.253396400072</v>
      </c>
      <c r="AP121" s="126">
        <f t="shared" si="72"/>
        <v>23.696789896489634</v>
      </c>
      <c r="AQ121" s="126">
        <f t="shared" si="66"/>
        <v>95.551572163264652</v>
      </c>
      <c r="AR121" s="126">
        <f t="shared" si="73"/>
        <v>0</v>
      </c>
      <c r="AS121" s="122"/>
      <c r="AT121" s="122"/>
      <c r="AU121" s="122"/>
      <c r="AV121" s="122"/>
      <c r="AW121" s="122"/>
      <c r="AX121" s="122"/>
      <c r="AY121" s="122"/>
      <c r="AZ121" s="122"/>
      <c r="BA121" s="122"/>
      <c r="BB121" s="122"/>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c r="CB121" s="69"/>
      <c r="CC121" s="69"/>
      <c r="CD121" s="69"/>
      <c r="CE121" s="69"/>
      <c r="CF121" s="69"/>
      <c r="CG121" s="69"/>
      <c r="CH121" s="69"/>
      <c r="CI121" s="69"/>
      <c r="CJ121" s="69"/>
      <c r="CK121" s="69"/>
      <c r="CL121" s="69"/>
      <c r="CM121" s="69"/>
      <c r="CN121" s="69"/>
      <c r="CO121" s="69"/>
      <c r="CP121" s="69"/>
      <c r="CQ121" s="69"/>
      <c r="CR121" s="69"/>
      <c r="CS121" s="69"/>
      <c r="CT121" s="69"/>
      <c r="CU121" s="69"/>
      <c r="CV121" s="69"/>
      <c r="CW121" s="69"/>
    </row>
    <row r="122" spans="1:101" ht="19.5" x14ac:dyDescent="0.35">
      <c r="A122" s="122"/>
      <c r="B122" s="122"/>
      <c r="C122" s="122"/>
      <c r="D122" s="122"/>
      <c r="E122" s="122"/>
      <c r="F122" s="122"/>
      <c r="G122" s="122"/>
      <c r="H122" s="122"/>
      <c r="I122" s="122"/>
      <c r="J122" s="122"/>
      <c r="K122" s="38">
        <v>1</v>
      </c>
      <c r="L122" s="38">
        <v>37</v>
      </c>
      <c r="M122" s="111">
        <v>-3.1</v>
      </c>
      <c r="N122" s="38">
        <f t="shared" si="87"/>
        <v>-40.451490833170226</v>
      </c>
      <c r="O122" s="38">
        <f t="shared" si="74"/>
        <v>7.5750000000000011</v>
      </c>
      <c r="P122" s="38">
        <f t="shared" si="54"/>
        <v>16.945275000000002</v>
      </c>
      <c r="Q122" s="38">
        <f t="shared" si="68"/>
        <v>7.5750000000000011</v>
      </c>
      <c r="R122" s="93">
        <f t="shared" si="85"/>
        <v>282.12900000000008</v>
      </c>
      <c r="S122" s="103">
        <v>-7.4947174539266861</v>
      </c>
      <c r="T122" s="97">
        <f t="shared" si="88"/>
        <v>-0.98804347826086969</v>
      </c>
      <c r="U122" s="93">
        <f t="shared" si="86"/>
        <v>12.72016236602977</v>
      </c>
      <c r="V122" s="93">
        <f t="shared" si="55"/>
        <v>-7.4947174539266861</v>
      </c>
      <c r="W122" s="38">
        <f t="shared" si="80"/>
        <v>-2247.5</v>
      </c>
      <c r="X122" s="38">
        <f t="shared" si="81"/>
        <v>20.000475888750003</v>
      </c>
      <c r="Y122" s="38">
        <f t="shared" si="58"/>
        <v>568.98</v>
      </c>
      <c r="Z122" s="38">
        <f t="shared" si="59"/>
        <v>-927.68478260869563</v>
      </c>
      <c r="AA122" s="38">
        <f t="shared" si="60"/>
        <v>-2586.2043067199456</v>
      </c>
      <c r="AB122" s="38">
        <f t="shared" si="61"/>
        <v>-19590.497623403589</v>
      </c>
      <c r="AC122" s="38">
        <f t="shared" si="71"/>
        <v>166790.49762340359</v>
      </c>
      <c r="AD122" s="126">
        <f t="shared" si="62"/>
        <v>27.270000000000003</v>
      </c>
      <c r="AE122" s="126">
        <f t="shared" si="63"/>
        <v>9.363500000000001E-2</v>
      </c>
      <c r="AF122" s="126">
        <f t="shared" si="89"/>
        <v>12369.65424127298</v>
      </c>
      <c r="AG122" s="126">
        <f t="shared" si="90"/>
        <v>0</v>
      </c>
      <c r="AH122" s="126">
        <f t="shared" si="64"/>
        <v>4461.5271048572822</v>
      </c>
      <c r="AI122" s="126">
        <f t="shared" si="65"/>
        <v>-24052.024728260873</v>
      </c>
      <c r="AJ122" s="126">
        <f t="shared" si="50"/>
        <v>0</v>
      </c>
      <c r="AK122" s="126">
        <f t="shared" si="91"/>
        <v>0</v>
      </c>
      <c r="AL122" s="126">
        <f t="shared" si="92"/>
        <v>-19590.497623403589</v>
      </c>
      <c r="AM122" s="126">
        <f t="shared" ref="AM122:AM153" si="94">(COUNTIF(AL122,"&gt;1")*AL122)/$AW$94</f>
        <v>0</v>
      </c>
      <c r="AN122" s="126">
        <f t="shared" si="75"/>
        <v>0</v>
      </c>
      <c r="AO122" s="126">
        <f t="shared" si="93"/>
        <v>15652.807601099466</v>
      </c>
      <c r="AP122" s="126">
        <f t="shared" si="72"/>
        <v>26.305591163339546</v>
      </c>
      <c r="AQ122" s="126">
        <f t="shared" si="66"/>
        <v>106.07093211024011</v>
      </c>
      <c r="AR122" s="126">
        <f t="shared" si="73"/>
        <v>0</v>
      </c>
      <c r="AS122" s="122"/>
      <c r="AT122" s="122"/>
      <c r="AU122" s="122"/>
      <c r="AV122" s="122"/>
      <c r="AW122" s="122"/>
      <c r="AX122" s="122"/>
      <c r="AY122" s="122"/>
      <c r="AZ122" s="122"/>
      <c r="BA122" s="122"/>
      <c r="BB122" s="122"/>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c r="CB122" s="69"/>
      <c r="CC122" s="69"/>
      <c r="CD122" s="69"/>
      <c r="CE122" s="69"/>
      <c r="CF122" s="69"/>
      <c r="CG122" s="69"/>
      <c r="CH122" s="69"/>
      <c r="CI122" s="69"/>
      <c r="CJ122" s="69"/>
      <c r="CK122" s="69"/>
      <c r="CL122" s="69"/>
      <c r="CM122" s="69"/>
      <c r="CN122" s="69"/>
      <c r="CO122" s="69"/>
      <c r="CP122" s="69"/>
      <c r="CQ122" s="69"/>
      <c r="CR122" s="69"/>
      <c r="CS122" s="69"/>
      <c r="CT122" s="69"/>
      <c r="CU122" s="69"/>
      <c r="CV122" s="69"/>
      <c r="CW122" s="69"/>
    </row>
    <row r="123" spans="1:101" ht="19.5" x14ac:dyDescent="0.35">
      <c r="A123" s="122"/>
      <c r="B123" s="122"/>
      <c r="C123" s="122"/>
      <c r="D123" s="122"/>
      <c r="E123" s="122"/>
      <c r="F123" s="122"/>
      <c r="G123" s="122"/>
      <c r="H123" s="122"/>
      <c r="I123" s="122"/>
      <c r="J123" s="122"/>
      <c r="K123" s="38">
        <v>1</v>
      </c>
      <c r="L123" s="38">
        <v>38</v>
      </c>
      <c r="M123" s="111">
        <v>-2</v>
      </c>
      <c r="N123" s="38">
        <f t="shared" si="87"/>
        <v>-26.097736021400141</v>
      </c>
      <c r="O123" s="38">
        <f t="shared" si="74"/>
        <v>5.5750000000000011</v>
      </c>
      <c r="P123" s="38">
        <f t="shared" si="54"/>
        <v>12.471275000000002</v>
      </c>
      <c r="Q123" s="38">
        <f t="shared" si="68"/>
        <v>5.5750000000000011</v>
      </c>
      <c r="R123" s="100">
        <f t="shared" si="85"/>
        <v>287.70400000000006</v>
      </c>
      <c r="S123" s="103">
        <v>-7.3540352103988331</v>
      </c>
      <c r="T123" s="97">
        <f t="shared" si="88"/>
        <v>-0.71360000000000012</v>
      </c>
      <c r="U123" s="100">
        <f t="shared" si="86"/>
        <v>12.006562366029771</v>
      </c>
      <c r="V123" s="93">
        <f t="shared" si="55"/>
        <v>-7.3540352103988331</v>
      </c>
      <c r="W123" s="38">
        <f t="shared" si="80"/>
        <v>-1450</v>
      </c>
      <c r="X123" s="38">
        <f t="shared" si="81"/>
        <v>10.833400488750003</v>
      </c>
      <c r="Y123" s="38">
        <f t="shared" si="58"/>
        <v>568.98</v>
      </c>
      <c r="Z123" s="38">
        <f t="shared" si="59"/>
        <v>-910.36800000000005</v>
      </c>
      <c r="AA123" s="38">
        <f t="shared" si="60"/>
        <v>-1780.55459951125</v>
      </c>
      <c r="AB123" s="38">
        <f t="shared" si="61"/>
        <v>-9926.5918922752207</v>
      </c>
      <c r="AC123" s="38">
        <f t="shared" si="71"/>
        <v>157126.59189227523</v>
      </c>
      <c r="AD123" s="126">
        <f t="shared" si="62"/>
        <v>20.070000000000004</v>
      </c>
      <c r="AE123" s="126">
        <f t="shared" si="63"/>
        <v>9.0035000000000004E-2</v>
      </c>
      <c r="AF123" s="126">
        <f t="shared" si="89"/>
        <v>7682.7273854570376</v>
      </c>
      <c r="AG123" s="126">
        <f t="shared" si="90"/>
        <v>0</v>
      </c>
      <c r="AH123" s="126">
        <f t="shared" si="64"/>
        <v>3232.4597077247822</v>
      </c>
      <c r="AI123" s="126">
        <f t="shared" si="65"/>
        <v>-13159.051600000003</v>
      </c>
      <c r="AJ123" s="126">
        <f t="shared" si="50"/>
        <v>0</v>
      </c>
      <c r="AK123" s="129">
        <f t="shared" si="91"/>
        <v>0</v>
      </c>
      <c r="AL123" s="126">
        <f t="shared" si="92"/>
        <v>-9926.5918922752207</v>
      </c>
      <c r="AM123" s="126">
        <f t="shared" si="94"/>
        <v>0</v>
      </c>
      <c r="AN123" s="126">
        <f t="shared" si="75"/>
        <v>0</v>
      </c>
      <c r="AO123" s="126">
        <f t="shared" si="93"/>
        <v>7931.3469219279004</v>
      </c>
      <c r="AP123" s="126">
        <f t="shared" si="72"/>
        <v>27.627482316994197</v>
      </c>
      <c r="AQ123" s="126">
        <f t="shared" si="66"/>
        <v>111.40113837497661</v>
      </c>
      <c r="AR123" s="126">
        <f t="shared" si="73"/>
        <v>0</v>
      </c>
      <c r="AS123" s="122"/>
      <c r="AT123" s="122"/>
      <c r="AU123" s="122"/>
      <c r="AV123" s="122"/>
      <c r="AW123" s="122"/>
      <c r="AX123" s="122"/>
      <c r="AY123" s="122"/>
      <c r="AZ123" s="122"/>
      <c r="BA123" s="122"/>
      <c r="BB123" s="122"/>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c r="CB123" s="69"/>
      <c r="CC123" s="69"/>
      <c r="CD123" s="69"/>
      <c r="CE123" s="69"/>
      <c r="CF123" s="69"/>
      <c r="CG123" s="69"/>
      <c r="CH123" s="69"/>
      <c r="CI123" s="69"/>
      <c r="CJ123" s="69"/>
      <c r="CK123" s="69"/>
      <c r="CL123" s="69"/>
      <c r="CM123" s="69"/>
      <c r="CN123" s="69"/>
      <c r="CO123" s="69"/>
      <c r="CP123" s="69"/>
      <c r="CQ123" s="69"/>
      <c r="CR123" s="69"/>
      <c r="CS123" s="69"/>
      <c r="CT123" s="69"/>
      <c r="CU123" s="69"/>
      <c r="CV123" s="69"/>
      <c r="CW123" s="69"/>
    </row>
    <row r="124" spans="1:101" ht="19.5" x14ac:dyDescent="0.35">
      <c r="A124" s="122"/>
      <c r="B124" s="122"/>
      <c r="C124" s="122"/>
      <c r="D124" s="122"/>
      <c r="E124" s="122"/>
      <c r="F124" s="122"/>
      <c r="G124" s="122"/>
      <c r="H124" s="122"/>
      <c r="I124" s="122"/>
      <c r="J124" s="122"/>
      <c r="K124" s="38">
        <v>1</v>
      </c>
      <c r="L124" s="38">
        <v>39</v>
      </c>
      <c r="M124" s="103">
        <v>0.4</v>
      </c>
      <c r="N124" s="38">
        <f t="shared" si="87"/>
        <v>5.2195472042800288</v>
      </c>
      <c r="O124" s="38">
        <f t="shared" si="74"/>
        <v>5.9750000000000014</v>
      </c>
      <c r="P124" s="38">
        <f t="shared" si="54"/>
        <v>13.366075000000004</v>
      </c>
      <c r="Q124" s="38">
        <f t="shared" si="68"/>
        <v>5.9750000000000014</v>
      </c>
      <c r="R124" s="93">
        <f t="shared" si="85"/>
        <v>293.67900000000009</v>
      </c>
      <c r="S124" s="103">
        <v>-7.3540352103988331</v>
      </c>
      <c r="T124" s="97">
        <f t="shared" si="88"/>
        <v>-0.76480000000000015</v>
      </c>
      <c r="U124" s="93">
        <f t="shared" si="86"/>
        <v>11.241762366029771</v>
      </c>
      <c r="V124" s="93">
        <f t="shared" si="55"/>
        <v>-7.3540352103988331</v>
      </c>
      <c r="W124" s="38">
        <f t="shared" si="80"/>
        <v>290</v>
      </c>
      <c r="X124" s="38">
        <f t="shared" si="81"/>
        <v>12.443738448750006</v>
      </c>
      <c r="Y124" s="38">
        <f t="shared" si="58"/>
        <v>568.98</v>
      </c>
      <c r="Z124" s="38">
        <f t="shared" si="59"/>
        <v>-910.36800000000005</v>
      </c>
      <c r="AA124" s="38">
        <f t="shared" si="60"/>
        <v>-38.944261551250065</v>
      </c>
      <c r="AB124" s="38">
        <f t="shared" si="61"/>
        <v>-232.69196276871921</v>
      </c>
      <c r="AC124" s="38">
        <f t="shared" si="71"/>
        <v>147432.69196276873</v>
      </c>
      <c r="AD124" s="126">
        <f t="shared" si="62"/>
        <v>21.510000000000005</v>
      </c>
      <c r="AE124" s="126">
        <f t="shared" si="63"/>
        <v>9.0755000000000002E-2</v>
      </c>
      <c r="AF124" s="126">
        <f t="shared" si="89"/>
        <v>8508.0581232010773</v>
      </c>
      <c r="AG124" s="126">
        <f t="shared" si="90"/>
        <v>0</v>
      </c>
      <c r="AH124" s="126">
        <f t="shared" si="64"/>
        <v>5206.7568372312835</v>
      </c>
      <c r="AI124" s="126">
        <f t="shared" si="65"/>
        <v>-5439.4488000000019</v>
      </c>
      <c r="AJ124" s="126">
        <f t="shared" si="50"/>
        <v>0</v>
      </c>
      <c r="AK124" s="129">
        <f t="shared" si="91"/>
        <v>0</v>
      </c>
      <c r="AL124" s="126">
        <f t="shared" si="92"/>
        <v>-232.69196276871921</v>
      </c>
      <c r="AM124" s="126">
        <f t="shared" si="94"/>
        <v>0</v>
      </c>
      <c r="AN124" s="126">
        <f t="shared" si="75"/>
        <v>0</v>
      </c>
      <c r="AO124" s="126">
        <f t="shared" si="93"/>
        <v>185.92087825220662</v>
      </c>
      <c r="AP124" s="126">
        <f t="shared" si="72"/>
        <v>27.658469130036231</v>
      </c>
      <c r="AQ124" s="126">
        <f t="shared" si="66"/>
        <v>111.526085201759</v>
      </c>
      <c r="AR124" s="126">
        <f t="shared" si="73"/>
        <v>0</v>
      </c>
      <c r="AS124" s="122"/>
      <c r="AT124" s="122"/>
      <c r="AU124" s="122"/>
      <c r="AV124" s="122"/>
      <c r="AW124" s="122"/>
      <c r="AX124" s="122"/>
      <c r="AY124" s="122"/>
      <c r="AZ124" s="122"/>
      <c r="BA124" s="122"/>
      <c r="BB124" s="122"/>
      <c r="BC124" s="69"/>
      <c r="BD124" s="69"/>
      <c r="BE124" s="69"/>
      <c r="BF124" s="69"/>
      <c r="BG124" s="69"/>
      <c r="BH124" s="69"/>
      <c r="BI124" s="69"/>
      <c r="BJ124" s="69"/>
      <c r="BK124" s="69"/>
      <c r="BL124" s="69"/>
      <c r="BM124" s="69"/>
      <c r="BN124" s="69"/>
      <c r="BO124" s="69"/>
      <c r="BP124" s="69"/>
      <c r="BQ124" s="69"/>
      <c r="BR124" s="69"/>
      <c r="BS124" s="69"/>
      <c r="BT124" s="69"/>
      <c r="BU124" s="69"/>
      <c r="BV124" s="69"/>
      <c r="BW124" s="69"/>
      <c r="BX124" s="69"/>
      <c r="BY124" s="69"/>
      <c r="BZ124" s="69"/>
      <c r="CA124" s="69"/>
      <c r="CB124" s="69"/>
      <c r="CC124" s="69"/>
      <c r="CD124" s="69"/>
      <c r="CE124" s="69"/>
      <c r="CF124" s="69"/>
      <c r="CG124" s="69"/>
      <c r="CH124" s="69"/>
      <c r="CI124" s="69"/>
      <c r="CJ124" s="69"/>
      <c r="CK124" s="69"/>
      <c r="CL124" s="69"/>
      <c r="CM124" s="69"/>
      <c r="CN124" s="69"/>
      <c r="CO124" s="69"/>
      <c r="CP124" s="69"/>
      <c r="CQ124" s="69"/>
      <c r="CR124" s="69"/>
      <c r="CS124" s="69"/>
      <c r="CT124" s="69"/>
      <c r="CU124" s="69"/>
      <c r="CV124" s="69"/>
      <c r="CW124" s="69"/>
    </row>
    <row r="125" spans="1:101" ht="19.5" x14ac:dyDescent="0.35">
      <c r="A125" s="122"/>
      <c r="B125" s="122"/>
      <c r="C125" s="122"/>
      <c r="D125" s="122"/>
      <c r="E125" s="122"/>
      <c r="F125" s="122"/>
      <c r="G125" s="122"/>
      <c r="H125" s="122"/>
      <c r="I125" s="122"/>
      <c r="J125" s="122"/>
      <c r="K125" s="38">
        <v>1</v>
      </c>
      <c r="L125" s="38">
        <v>40</v>
      </c>
      <c r="M125" s="103">
        <v>0.9</v>
      </c>
      <c r="N125" s="38">
        <f t="shared" si="87"/>
        <v>11.743981209630066</v>
      </c>
      <c r="O125" s="38">
        <f t="shared" si="74"/>
        <v>6.8750000000000018</v>
      </c>
      <c r="P125" s="38">
        <f t="shared" si="54"/>
        <v>15.379375000000005</v>
      </c>
      <c r="Q125" s="38">
        <f t="shared" si="68"/>
        <v>6.8750000000000018</v>
      </c>
      <c r="R125" s="93">
        <f t="shared" si="85"/>
        <v>300.55400000000009</v>
      </c>
      <c r="S125" s="103">
        <v>-7.3540352103988331</v>
      </c>
      <c r="T125" s="97">
        <f t="shared" si="88"/>
        <v>-0.88000000000000023</v>
      </c>
      <c r="U125" s="93">
        <f t="shared" si="86"/>
        <v>10.361762366029771</v>
      </c>
      <c r="V125" s="93">
        <f t="shared" si="55"/>
        <v>-7.3540352103988331</v>
      </c>
      <c r="W125" s="38">
        <f t="shared" si="80"/>
        <v>652.5</v>
      </c>
      <c r="X125" s="38">
        <f t="shared" si="81"/>
        <v>16.474811718750008</v>
      </c>
      <c r="Y125" s="38">
        <f t="shared" si="58"/>
        <v>568.98</v>
      </c>
      <c r="Z125" s="38">
        <f t="shared" si="59"/>
        <v>-910.36800000000005</v>
      </c>
      <c r="AA125" s="38">
        <f t="shared" si="60"/>
        <v>327.58681171875003</v>
      </c>
      <c r="AB125" s="38">
        <f t="shared" si="61"/>
        <v>2252.1593305664069</v>
      </c>
      <c r="AC125" s="38">
        <f t="shared" si="71"/>
        <v>144947.84066943359</v>
      </c>
      <c r="AD125" s="126">
        <f t="shared" si="62"/>
        <v>24.750000000000007</v>
      </c>
      <c r="AE125" s="126">
        <f t="shared" si="63"/>
        <v>9.2375000000000013E-2</v>
      </c>
      <c r="AF125" s="126">
        <f t="shared" si="89"/>
        <v>10563.372038707877</v>
      </c>
      <c r="AG125" s="126">
        <f t="shared" si="90"/>
        <v>2252.1593305664069</v>
      </c>
      <c r="AH125" s="126">
        <f t="shared" si="64"/>
        <v>8510.9393305664089</v>
      </c>
      <c r="AI125" s="126">
        <f t="shared" si="65"/>
        <v>-6258.7800000000016</v>
      </c>
      <c r="AJ125" s="126">
        <v>1</v>
      </c>
      <c r="AK125" s="131">
        <f t="shared" si="91"/>
        <v>34000</v>
      </c>
      <c r="AL125" s="126">
        <f t="shared" si="92"/>
        <v>-31747.840669433594</v>
      </c>
      <c r="AM125" s="126">
        <f t="shared" si="94"/>
        <v>0</v>
      </c>
      <c r="AN125" s="126">
        <f t="shared" si="75"/>
        <v>0</v>
      </c>
      <c r="AO125" s="126">
        <f t="shared" si="93"/>
        <v>25366.52469487744</v>
      </c>
      <c r="AP125" s="126">
        <f t="shared" si="72"/>
        <v>31.886223245849138</v>
      </c>
      <c r="AQ125" s="126">
        <f t="shared" si="66"/>
        <v>128.57348083003683</v>
      </c>
      <c r="AR125" s="129">
        <f t="shared" si="73"/>
        <v>1</v>
      </c>
      <c r="AS125" s="122"/>
      <c r="AT125" s="122"/>
      <c r="AU125" s="122"/>
      <c r="AV125" s="122"/>
      <c r="AW125" s="122"/>
      <c r="AX125" s="122"/>
      <c r="AY125" s="122"/>
      <c r="AZ125" s="122"/>
      <c r="BA125" s="122"/>
      <c r="BB125" s="122"/>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c r="CB125" s="69"/>
      <c r="CC125" s="69"/>
      <c r="CD125" s="69"/>
      <c r="CE125" s="69"/>
      <c r="CF125" s="69"/>
      <c r="CG125" s="69"/>
      <c r="CH125" s="69"/>
      <c r="CI125" s="69"/>
      <c r="CJ125" s="69"/>
      <c r="CK125" s="69"/>
      <c r="CL125" s="69"/>
      <c r="CM125" s="69"/>
      <c r="CN125" s="69"/>
      <c r="CO125" s="69"/>
      <c r="CP125" s="69"/>
      <c r="CQ125" s="69"/>
      <c r="CR125" s="69"/>
      <c r="CS125" s="69"/>
      <c r="CT125" s="69"/>
      <c r="CU125" s="69"/>
      <c r="CV125" s="69"/>
      <c r="CW125" s="69"/>
    </row>
    <row r="126" spans="1:101" ht="19.5" x14ac:dyDescent="0.35">
      <c r="A126" s="122"/>
      <c r="B126" s="122"/>
      <c r="C126" s="122"/>
      <c r="D126" s="122"/>
      <c r="E126" s="122"/>
      <c r="F126" s="122"/>
      <c r="G126" s="122"/>
      <c r="H126" s="122"/>
      <c r="I126" s="122"/>
      <c r="J126" s="122"/>
      <c r="K126" s="38">
        <v>1</v>
      </c>
      <c r="L126" s="38">
        <v>41</v>
      </c>
      <c r="M126" s="103">
        <v>1.3</v>
      </c>
      <c r="N126" s="38">
        <f t="shared" si="87"/>
        <v>16.963528413910094</v>
      </c>
      <c r="O126" s="38">
        <f t="shared" si="74"/>
        <v>8.1750000000000025</v>
      </c>
      <c r="P126" s="38">
        <f t="shared" si="54"/>
        <v>18.287475000000008</v>
      </c>
      <c r="Q126" s="38">
        <f t="shared" si="68"/>
        <v>8.1750000000000025</v>
      </c>
      <c r="R126" s="100">
        <f t="shared" si="85"/>
        <v>308.7290000000001</v>
      </c>
      <c r="S126" s="103">
        <v>0</v>
      </c>
      <c r="T126" s="97">
        <f t="shared" si="88"/>
        <v>0</v>
      </c>
      <c r="U126" s="100">
        <f t="shared" si="86"/>
        <v>10.361762366029771</v>
      </c>
      <c r="V126" s="93">
        <f t="shared" si="55"/>
        <v>0</v>
      </c>
      <c r="W126" s="38">
        <f t="shared" si="80"/>
        <v>942.5</v>
      </c>
      <c r="X126" s="38">
        <f t="shared" si="81"/>
        <v>23.294348988750013</v>
      </c>
      <c r="Y126" s="38">
        <f t="shared" si="58"/>
        <v>568.98</v>
      </c>
      <c r="Z126" s="38">
        <f t="shared" si="59"/>
        <v>0</v>
      </c>
      <c r="AA126" s="38">
        <f t="shared" si="60"/>
        <v>1534.77434898875</v>
      </c>
      <c r="AB126" s="38">
        <f t="shared" si="61"/>
        <v>12546.780302983036</v>
      </c>
      <c r="AC126" s="38">
        <f t="shared" si="71"/>
        <v>134653.21969701696</v>
      </c>
      <c r="AD126" s="126">
        <f t="shared" si="62"/>
        <v>29.43000000000001</v>
      </c>
      <c r="AE126" s="126">
        <f t="shared" si="63"/>
        <v>9.4715000000000008E-2</v>
      </c>
      <c r="AF126" s="126">
        <f t="shared" si="89"/>
        <v>14076.229784121097</v>
      </c>
      <c r="AG126" s="126">
        <f t="shared" si="90"/>
        <v>12546.780302983036</v>
      </c>
      <c r="AH126" s="126">
        <f t="shared" si="64"/>
        <v>12546.780302983036</v>
      </c>
      <c r="AI126" s="126">
        <f t="shared" si="65"/>
        <v>0</v>
      </c>
      <c r="AJ126" s="126">
        <f>COUNTIF(AB126,"&gt;8000")</f>
        <v>1</v>
      </c>
      <c r="AK126" s="129">
        <f t="shared" si="91"/>
        <v>34000</v>
      </c>
      <c r="AL126" s="126">
        <f t="shared" si="92"/>
        <v>-21453.219697016964</v>
      </c>
      <c r="AM126" s="126">
        <f t="shared" si="94"/>
        <v>0</v>
      </c>
      <c r="AN126" s="126">
        <f t="shared" si="75"/>
        <v>0</v>
      </c>
      <c r="AO126" s="126">
        <f t="shared" si="93"/>
        <v>17141.122537916552</v>
      </c>
      <c r="AP126" s="126">
        <f t="shared" si="72"/>
        <v>34.743077002168562</v>
      </c>
      <c r="AQ126" s="126">
        <f t="shared" si="66"/>
        <v>140.09305242809904</v>
      </c>
      <c r="AR126" s="130">
        <f t="shared" si="73"/>
        <v>1</v>
      </c>
      <c r="AS126" s="122"/>
      <c r="AT126" s="122"/>
      <c r="AU126" s="122"/>
      <c r="AV126" s="122"/>
      <c r="AW126" s="122"/>
      <c r="AX126" s="122"/>
      <c r="AY126" s="122"/>
      <c r="AZ126" s="122"/>
      <c r="BA126" s="122"/>
      <c r="BB126" s="122"/>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c r="CB126" s="69"/>
      <c r="CC126" s="69"/>
      <c r="CD126" s="69"/>
      <c r="CE126" s="69"/>
      <c r="CF126" s="69"/>
      <c r="CG126" s="69"/>
      <c r="CH126" s="69"/>
      <c r="CI126" s="69"/>
      <c r="CJ126" s="69"/>
      <c r="CK126" s="69"/>
      <c r="CL126" s="69"/>
      <c r="CM126" s="69"/>
      <c r="CN126" s="69"/>
      <c r="CO126" s="69"/>
      <c r="CP126" s="69"/>
      <c r="CQ126" s="69"/>
      <c r="CR126" s="69"/>
      <c r="CS126" s="69"/>
      <c r="CT126" s="69"/>
      <c r="CU126" s="69"/>
      <c r="CV126" s="69"/>
      <c r="CW126" s="69"/>
    </row>
    <row r="127" spans="1:101" ht="19.5" x14ac:dyDescent="0.35">
      <c r="A127" s="122"/>
      <c r="B127" s="122"/>
      <c r="C127" s="122"/>
      <c r="D127" s="122"/>
      <c r="E127" s="122"/>
      <c r="F127" s="122"/>
      <c r="G127" s="122"/>
      <c r="H127" s="122"/>
      <c r="I127" s="122"/>
      <c r="J127" s="122"/>
      <c r="K127" s="38">
        <v>1</v>
      </c>
      <c r="L127" s="38">
        <v>42</v>
      </c>
      <c r="M127" s="103">
        <v>4.5</v>
      </c>
      <c r="N127" s="38">
        <f t="shared" si="87"/>
        <v>58.719906048150328</v>
      </c>
      <c r="O127" s="38">
        <f t="shared" si="74"/>
        <v>12.675000000000002</v>
      </c>
      <c r="P127" s="38">
        <f t="shared" si="54"/>
        <v>28.353975000000005</v>
      </c>
      <c r="Q127" s="38">
        <f t="shared" si="68"/>
        <v>12.675000000000002</v>
      </c>
      <c r="R127" s="93">
        <f t="shared" si="85"/>
        <v>321.40400000000011</v>
      </c>
      <c r="S127" s="103">
        <v>0</v>
      </c>
      <c r="T127" s="97">
        <f t="shared" si="88"/>
        <v>0</v>
      </c>
      <c r="U127" s="93">
        <f t="shared" si="86"/>
        <v>10.361762366029771</v>
      </c>
      <c r="V127" s="93">
        <f t="shared" si="55"/>
        <v>0</v>
      </c>
      <c r="W127" s="38">
        <f t="shared" si="80"/>
        <v>3262.5</v>
      </c>
      <c r="X127" s="38">
        <f t="shared" si="81"/>
        <v>55.997803338750025</v>
      </c>
      <c r="Y127" s="38">
        <f t="shared" si="58"/>
        <v>568.98</v>
      </c>
      <c r="Z127" s="38">
        <f t="shared" si="59"/>
        <v>0</v>
      </c>
      <c r="AA127" s="38">
        <f t="shared" si="60"/>
        <v>3887.4778033387502</v>
      </c>
      <c r="AB127" s="38">
        <f t="shared" si="61"/>
        <v>49273.78115731867</v>
      </c>
      <c r="AC127" s="38">
        <f t="shared" si="71"/>
        <v>97926.218842681323</v>
      </c>
      <c r="AD127" s="126">
        <f t="shared" si="62"/>
        <v>45.63000000000001</v>
      </c>
      <c r="AE127" s="126">
        <f t="shared" si="63"/>
        <v>0.10281500000000002</v>
      </c>
      <c r="AF127" s="126">
        <f t="shared" si="89"/>
        <v>32595.533747792892</v>
      </c>
      <c r="AG127" s="126">
        <f t="shared" si="90"/>
        <v>49273.78115731867</v>
      </c>
      <c r="AH127" s="126">
        <f t="shared" si="64"/>
        <v>49273.78115731867</v>
      </c>
      <c r="AI127" s="126">
        <f t="shared" si="65"/>
        <v>0</v>
      </c>
      <c r="AJ127" s="126">
        <f>COUNTIF(AB127,"&gt;8000")</f>
        <v>1</v>
      </c>
      <c r="AK127" s="129">
        <f t="shared" si="91"/>
        <v>34000</v>
      </c>
      <c r="AL127" s="126">
        <f t="shared" si="92"/>
        <v>15273.78115731867</v>
      </c>
      <c r="AM127" s="126">
        <f t="shared" si="94"/>
        <v>19116.121598646649</v>
      </c>
      <c r="AN127" s="126">
        <f t="shared" si="75"/>
        <v>15273.78115731867</v>
      </c>
      <c r="AO127" s="126">
        <f t="shared" si="93"/>
        <v>0</v>
      </c>
      <c r="AP127" s="126">
        <f t="shared" si="72"/>
        <v>31.557056735727453</v>
      </c>
      <c r="AQ127" s="126">
        <f t="shared" si="66"/>
        <v>127.24619651503004</v>
      </c>
      <c r="AR127" s="129">
        <f t="shared" si="73"/>
        <v>1</v>
      </c>
      <c r="AS127" s="122"/>
      <c r="AT127" s="122"/>
      <c r="AU127" s="122"/>
      <c r="AV127" s="122"/>
      <c r="AW127" s="122"/>
      <c r="AX127" s="122"/>
      <c r="AY127" s="122"/>
      <c r="AZ127" s="122"/>
      <c r="BA127" s="122"/>
      <c r="BB127" s="122"/>
      <c r="BC127" s="69"/>
      <c r="BD127" s="69"/>
      <c r="BE127" s="69"/>
      <c r="BF127" s="69"/>
      <c r="BG127" s="69"/>
      <c r="BH127" s="69"/>
      <c r="BI127" s="69"/>
      <c r="BJ127" s="69"/>
      <c r="BK127" s="69"/>
      <c r="BL127" s="69"/>
      <c r="BM127" s="69"/>
      <c r="BN127" s="69"/>
      <c r="BO127" s="69"/>
      <c r="BP127" s="69"/>
      <c r="BQ127" s="69"/>
      <c r="BR127" s="69"/>
      <c r="BS127" s="69"/>
      <c r="BT127" s="69"/>
      <c r="BU127" s="69"/>
      <c r="BV127" s="69"/>
      <c r="BW127" s="69"/>
      <c r="BX127" s="69"/>
      <c r="BY127" s="69"/>
      <c r="BZ127" s="69"/>
      <c r="CA127" s="69"/>
      <c r="CB127" s="69"/>
      <c r="CC127" s="69"/>
      <c r="CD127" s="69"/>
      <c r="CE127" s="69"/>
      <c r="CF127" s="69"/>
      <c r="CG127" s="69"/>
      <c r="CH127" s="69"/>
      <c r="CI127" s="69"/>
      <c r="CJ127" s="69"/>
      <c r="CK127" s="69"/>
      <c r="CL127" s="69"/>
      <c r="CM127" s="69"/>
      <c r="CN127" s="69"/>
      <c r="CO127" s="69"/>
      <c r="CP127" s="69"/>
      <c r="CQ127" s="69"/>
      <c r="CR127" s="69"/>
      <c r="CS127" s="69"/>
      <c r="CT127" s="69"/>
      <c r="CU127" s="69"/>
      <c r="CV127" s="69"/>
      <c r="CW127" s="69"/>
    </row>
    <row r="128" spans="1:101" ht="19.5" x14ac:dyDescent="0.35">
      <c r="A128" s="122"/>
      <c r="B128" s="122"/>
      <c r="C128" s="122"/>
      <c r="D128" s="122"/>
      <c r="E128" s="122"/>
      <c r="F128" s="122"/>
      <c r="G128" s="122"/>
      <c r="H128" s="122"/>
      <c r="I128" s="122"/>
      <c r="J128" s="122"/>
      <c r="K128" s="38">
        <v>1</v>
      </c>
      <c r="L128" s="38">
        <v>43</v>
      </c>
      <c r="M128" s="103">
        <v>4.5</v>
      </c>
      <c r="N128" s="38">
        <f t="shared" si="87"/>
        <v>58.719906048150328</v>
      </c>
      <c r="O128" s="38">
        <f t="shared" si="74"/>
        <v>17.175000000000004</v>
      </c>
      <c r="P128" s="38">
        <f t="shared" si="54"/>
        <v>38.42047500000001</v>
      </c>
      <c r="Q128" s="38">
        <f t="shared" si="68"/>
        <v>17.175000000000004</v>
      </c>
      <c r="R128" s="93">
        <f t="shared" si="85"/>
        <v>338.57900000000012</v>
      </c>
      <c r="S128" s="103">
        <v>0</v>
      </c>
      <c r="T128" s="97">
        <f t="shared" si="88"/>
        <v>0</v>
      </c>
      <c r="U128" s="93">
        <f t="shared" si="86"/>
        <v>10.361762366029771</v>
      </c>
      <c r="V128" s="93">
        <f t="shared" si="55"/>
        <v>0</v>
      </c>
      <c r="W128" s="38">
        <f t="shared" si="80"/>
        <v>3262.5</v>
      </c>
      <c r="X128" s="38">
        <f t="shared" si="81"/>
        <v>102.81785668875004</v>
      </c>
      <c r="Y128" s="38">
        <f t="shared" si="58"/>
        <v>568.98</v>
      </c>
      <c r="Z128" s="38">
        <f t="shared" si="59"/>
        <v>0</v>
      </c>
      <c r="AA128" s="38">
        <f t="shared" si="60"/>
        <v>3934.29785668875</v>
      </c>
      <c r="AB128" s="38">
        <f t="shared" si="61"/>
        <v>67571.5656886293</v>
      </c>
      <c r="AC128" s="38">
        <f t="shared" si="71"/>
        <v>79628.4343113707</v>
      </c>
      <c r="AD128" s="126">
        <f t="shared" si="62"/>
        <v>61.83000000000002</v>
      </c>
      <c r="AE128" s="126">
        <f t="shared" si="63"/>
        <v>0.110915</v>
      </c>
      <c r="AF128" s="126">
        <f t="shared" si="89"/>
        <v>64308.946660256974</v>
      </c>
      <c r="AG128" s="126">
        <f t="shared" si="90"/>
        <v>67571.5656886293</v>
      </c>
      <c r="AH128" s="126">
        <f t="shared" si="64"/>
        <v>67571.5656886293</v>
      </c>
      <c r="AI128" s="126">
        <f>((COUNTIF(W128,"&lt;0")*W128)+(COUNTIF(X128,"&lt;0")*X128)+(COUNTIF(Y128,"&lt;0")*Y128)+(COUNTIF(Z128,"&lt;0")*Z128))*O128</f>
        <v>0</v>
      </c>
      <c r="AJ128" s="126">
        <f>COUNTIF(AB128,"&gt;8000")</f>
        <v>1</v>
      </c>
      <c r="AK128" s="126">
        <f t="shared" si="91"/>
        <v>34000</v>
      </c>
      <c r="AL128" s="126">
        <f t="shared" si="92"/>
        <v>33571.5656886293</v>
      </c>
      <c r="AM128" s="126">
        <f t="shared" si="94"/>
        <v>42016.978333703759</v>
      </c>
      <c r="AN128" s="126">
        <f t="shared" si="75"/>
        <v>33571.5656886293</v>
      </c>
      <c r="AO128" s="126">
        <f t="shared" si="93"/>
        <v>0</v>
      </c>
      <c r="AP128" s="126">
        <f t="shared" si="72"/>
        <v>24.554227013443494</v>
      </c>
      <c r="AQ128" s="126">
        <f t="shared" si="66"/>
        <v>99.00897989291731</v>
      </c>
      <c r="AR128" s="126">
        <f t="shared" si="73"/>
        <v>0</v>
      </c>
      <c r="AS128" s="122"/>
      <c r="AT128" s="122"/>
      <c r="AU128" s="122"/>
      <c r="AV128" s="122"/>
      <c r="AW128" s="122"/>
      <c r="AX128" s="122"/>
      <c r="AY128" s="122"/>
      <c r="AZ128" s="122"/>
      <c r="BA128" s="122"/>
      <c r="BB128" s="122"/>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c r="CB128" s="69"/>
      <c r="CC128" s="69"/>
      <c r="CD128" s="69"/>
      <c r="CE128" s="69"/>
      <c r="CF128" s="69"/>
      <c r="CG128" s="69"/>
      <c r="CH128" s="69"/>
      <c r="CI128" s="69"/>
      <c r="CJ128" s="69"/>
      <c r="CK128" s="69"/>
      <c r="CL128" s="69"/>
      <c r="CM128" s="69"/>
      <c r="CN128" s="69"/>
      <c r="CO128" s="69"/>
      <c r="CP128" s="69"/>
      <c r="CQ128" s="69"/>
      <c r="CR128" s="69"/>
      <c r="CS128" s="69"/>
      <c r="CT128" s="69"/>
      <c r="CU128" s="69"/>
      <c r="CV128" s="69"/>
      <c r="CW128" s="69"/>
    </row>
    <row r="129" spans="1:101" ht="19.5" x14ac:dyDescent="0.35">
      <c r="A129" s="122"/>
      <c r="B129" s="122"/>
      <c r="C129" s="122"/>
      <c r="D129" s="122"/>
      <c r="E129" s="122"/>
      <c r="F129" s="122"/>
      <c r="G129" s="122"/>
      <c r="H129" s="122"/>
      <c r="I129" s="122"/>
      <c r="J129" s="122"/>
      <c r="K129" s="38">
        <v>1</v>
      </c>
      <c r="L129" s="38">
        <v>44</v>
      </c>
      <c r="M129" s="112">
        <v>4.3</v>
      </c>
      <c r="N129" s="38">
        <f t="shared" si="87"/>
        <v>56.110132446010311</v>
      </c>
      <c r="O129" s="38">
        <f t="shared" si="74"/>
        <v>21.475000000000005</v>
      </c>
      <c r="P129" s="38">
        <f t="shared" si="54"/>
        <v>48.039575000000013</v>
      </c>
      <c r="Q129" s="38">
        <f t="shared" si="68"/>
        <v>21.475000000000005</v>
      </c>
      <c r="R129" s="100">
        <f t="shared" si="85"/>
        <v>360.05400000000014</v>
      </c>
      <c r="S129" s="103">
        <v>7.37</v>
      </c>
      <c r="T129" s="97">
        <f t="shared" si="88"/>
        <v>2.7547344259782052</v>
      </c>
      <c r="U129" s="100">
        <f t="shared" si="86"/>
        <v>13.116496792007975</v>
      </c>
      <c r="V129" s="93">
        <f t="shared" si="55"/>
        <v>7.3699999999999983</v>
      </c>
      <c r="W129" s="38">
        <f t="shared" si="80"/>
        <v>3117.5</v>
      </c>
      <c r="X129" s="38">
        <f t="shared" si="81"/>
        <v>160.74645349875007</v>
      </c>
      <c r="Y129" s="38">
        <f t="shared" si="58"/>
        <v>568.98</v>
      </c>
      <c r="Z129" s="38">
        <f t="shared" si="59"/>
        <v>912.3334072718734</v>
      </c>
      <c r="AA129" s="38">
        <f t="shared" si="60"/>
        <v>4759.5598607706233</v>
      </c>
      <c r="AB129" s="38">
        <f t="shared" si="61"/>
        <v>102211.54801004915</v>
      </c>
      <c r="AC129" s="38">
        <f t="shared" si="71"/>
        <v>44988.451989950845</v>
      </c>
      <c r="AD129" s="126">
        <f t="shared" si="62"/>
        <v>77.310000000000016</v>
      </c>
      <c r="AE129" s="126">
        <f t="shared" si="63"/>
        <v>0.11865500000000001</v>
      </c>
      <c r="AF129" s="126">
        <f t="shared" si="89"/>
        <v>110953.13899062862</v>
      </c>
      <c r="AG129" s="126">
        <f t="shared" si="90"/>
        <v>102211.54801004915</v>
      </c>
      <c r="AH129" s="126">
        <f t="shared" si="64"/>
        <v>102211.54801004915</v>
      </c>
      <c r="AI129" s="126">
        <f t="shared" si="65"/>
        <v>0</v>
      </c>
      <c r="AJ129" s="126">
        <f>COUNTIF(AB129,"&gt;8000")</f>
        <v>1</v>
      </c>
      <c r="AK129" s="126">
        <f t="shared" si="91"/>
        <v>34000</v>
      </c>
      <c r="AL129" s="126">
        <f t="shared" si="92"/>
        <v>68211.548010049155</v>
      </c>
      <c r="AM129" s="126">
        <f t="shared" si="94"/>
        <v>85371.148948747388</v>
      </c>
      <c r="AN129" s="126">
        <f t="shared" si="75"/>
        <v>68211.548010049155</v>
      </c>
      <c r="AO129" s="126">
        <f t="shared" si="93"/>
        <v>0</v>
      </c>
      <c r="AP129" s="126">
        <f t="shared" si="72"/>
        <v>10.325702188652263</v>
      </c>
      <c r="AQ129" s="126">
        <f t="shared" si="66"/>
        <v>41.635895921984932</v>
      </c>
      <c r="AR129" s="126">
        <f t="shared" si="73"/>
        <v>0</v>
      </c>
      <c r="AS129" s="122"/>
      <c r="AT129" s="122"/>
      <c r="AU129" s="122"/>
      <c r="AV129" s="122"/>
      <c r="AW129" s="122"/>
      <c r="AX129" s="122"/>
      <c r="AY129" s="122"/>
      <c r="AZ129" s="122"/>
      <c r="BA129" s="122"/>
      <c r="BB129" s="122"/>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c r="CB129" s="69"/>
      <c r="CC129" s="69"/>
      <c r="CD129" s="69"/>
      <c r="CE129" s="69"/>
      <c r="CF129" s="69"/>
      <c r="CG129" s="69"/>
      <c r="CH129" s="69"/>
      <c r="CI129" s="69"/>
      <c r="CJ129" s="69"/>
      <c r="CK129" s="69"/>
      <c r="CL129" s="69"/>
      <c r="CM129" s="69"/>
      <c r="CN129" s="69"/>
      <c r="CO129" s="69"/>
      <c r="CP129" s="69"/>
      <c r="CQ129" s="69"/>
      <c r="CR129" s="69"/>
      <c r="CS129" s="69"/>
      <c r="CT129" s="69"/>
      <c r="CU129" s="69"/>
      <c r="CV129" s="69"/>
      <c r="CW129" s="69"/>
    </row>
    <row r="130" spans="1:101" ht="19.5" x14ac:dyDescent="0.35">
      <c r="A130" s="122"/>
      <c r="B130" s="122"/>
      <c r="C130" s="122"/>
      <c r="D130" s="122"/>
      <c r="E130" s="122"/>
      <c r="F130" s="122"/>
      <c r="G130" s="122"/>
      <c r="H130" s="122"/>
      <c r="I130" s="122"/>
      <c r="J130" s="122"/>
      <c r="K130" s="38">
        <v>1</v>
      </c>
      <c r="L130" s="38">
        <v>45</v>
      </c>
      <c r="M130" s="112">
        <v>1.5</v>
      </c>
      <c r="N130" s="38">
        <f t="shared" si="87"/>
        <v>19.573302016050107</v>
      </c>
      <c r="O130" s="38">
        <f t="shared" si="74"/>
        <v>22.975000000000005</v>
      </c>
      <c r="P130" s="38">
        <f t="shared" si="54"/>
        <v>51.395075000000013</v>
      </c>
      <c r="Q130" s="38">
        <f t="shared" si="68"/>
        <v>22.975000000000005</v>
      </c>
      <c r="R130" s="100">
        <f t="shared" si="85"/>
        <v>383.02900000000017</v>
      </c>
      <c r="S130" s="103">
        <v>9.2100000000000009</v>
      </c>
      <c r="T130" s="97">
        <f t="shared" si="88"/>
        <v>3.6772285429962208</v>
      </c>
      <c r="U130" s="100">
        <f t="shared" si="86"/>
        <v>16.793725335004197</v>
      </c>
      <c r="V130" s="93">
        <f t="shared" si="55"/>
        <v>9.2100000000000009</v>
      </c>
      <c r="W130" s="38">
        <f t="shared" si="80"/>
        <v>1087.5</v>
      </c>
      <c r="X130" s="38">
        <f t="shared" si="81"/>
        <v>183.98655814875008</v>
      </c>
      <c r="Y130" s="38">
        <v>0</v>
      </c>
      <c r="Z130" s="38">
        <f t="shared" si="59"/>
        <v>1138.3403135984709</v>
      </c>
      <c r="AA130" s="38">
        <f t="shared" si="60"/>
        <v>2409.826871747221</v>
      </c>
      <c r="AB130" s="38">
        <f t="shared" si="61"/>
        <v>55365.772378392416</v>
      </c>
      <c r="AC130" s="38">
        <f t="shared" si="71"/>
        <v>91834.227621607584</v>
      </c>
      <c r="AD130" s="126">
        <f t="shared" si="62"/>
        <v>82.710000000000022</v>
      </c>
      <c r="AE130" s="126">
        <f t="shared" si="63"/>
        <v>0.121355</v>
      </c>
      <c r="AF130" s="126">
        <f t="shared" si="89"/>
        <v>131695.73400091825</v>
      </c>
      <c r="AG130" s="126">
        <f t="shared" si="90"/>
        <v>55365.772378392416</v>
      </c>
      <c r="AH130" s="126">
        <f t="shared" si="64"/>
        <v>55365.772378392416</v>
      </c>
      <c r="AI130" s="126">
        <f t="shared" si="65"/>
        <v>0</v>
      </c>
      <c r="AJ130" s="126">
        <f>COUNTIF(AB130,"&gt;8000")</f>
        <v>1</v>
      </c>
      <c r="AK130" s="126">
        <f t="shared" si="91"/>
        <v>34000</v>
      </c>
      <c r="AL130" s="126">
        <f t="shared" si="92"/>
        <v>21365.772378392416</v>
      </c>
      <c r="AM130" s="126">
        <f t="shared" si="94"/>
        <v>26740.641274583752</v>
      </c>
      <c r="AN130" s="126">
        <f t="shared" si="75"/>
        <v>21365.772378392416</v>
      </c>
      <c r="AO130" s="126">
        <f t="shared" si="93"/>
        <v>0</v>
      </c>
      <c r="AP130" s="126">
        <f t="shared" si="72"/>
        <v>5.8689286428883047</v>
      </c>
      <c r="AQ130" s="126">
        <f t="shared" si="66"/>
        <v>23.665034850356069</v>
      </c>
      <c r="AR130" s="126">
        <f t="shared" si="73"/>
        <v>0</v>
      </c>
      <c r="AS130" s="122"/>
      <c r="AT130" s="122"/>
      <c r="AU130" s="122"/>
      <c r="AV130" s="122"/>
      <c r="AW130" s="122"/>
      <c r="AX130" s="122"/>
      <c r="AY130" s="122"/>
      <c r="AZ130" s="122"/>
      <c r="BA130" s="122"/>
      <c r="BB130" s="122"/>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c r="CB130" s="69"/>
      <c r="CC130" s="69"/>
      <c r="CD130" s="69"/>
      <c r="CE130" s="69"/>
      <c r="CF130" s="69"/>
      <c r="CG130" s="69"/>
      <c r="CH130" s="69"/>
      <c r="CI130" s="69"/>
      <c r="CJ130" s="69"/>
      <c r="CK130" s="69"/>
      <c r="CL130" s="69"/>
      <c r="CM130" s="69"/>
      <c r="CN130" s="69"/>
      <c r="CO130" s="69"/>
      <c r="CP130" s="69"/>
      <c r="CQ130" s="69"/>
      <c r="CR130" s="69"/>
      <c r="CS130" s="69"/>
      <c r="CT130" s="69"/>
      <c r="CU130" s="69"/>
      <c r="CV130" s="69"/>
      <c r="CW130" s="69"/>
    </row>
    <row r="131" spans="1:101" ht="19.5" x14ac:dyDescent="0.35">
      <c r="A131" s="122"/>
      <c r="B131" s="122"/>
      <c r="C131" s="122"/>
      <c r="D131" s="122"/>
      <c r="E131" s="122"/>
      <c r="F131" s="122"/>
      <c r="G131" s="122"/>
      <c r="H131" s="122"/>
      <c r="I131" s="122"/>
      <c r="J131" s="122"/>
      <c r="K131" s="38">
        <v>1</v>
      </c>
      <c r="L131" s="38">
        <v>46</v>
      </c>
      <c r="M131" s="112">
        <v>-2.7</v>
      </c>
      <c r="N131" s="38">
        <f t="shared" si="87"/>
        <v>-35.231943628890193</v>
      </c>
      <c r="O131" s="38">
        <f t="shared" si="74"/>
        <v>20.275000000000006</v>
      </c>
      <c r="P131" s="38">
        <f t="shared" si="54"/>
        <v>45.355175000000017</v>
      </c>
      <c r="Q131" s="38">
        <f t="shared" si="68"/>
        <v>20.275000000000006</v>
      </c>
      <c r="R131" s="93">
        <f t="shared" si="85"/>
        <v>403.3040000000002</v>
      </c>
      <c r="S131" s="103">
        <v>3.82</v>
      </c>
      <c r="T131" s="97">
        <f t="shared" si="88"/>
        <v>1.3507649990296451</v>
      </c>
      <c r="U131" s="93">
        <f t="shared" si="86"/>
        <v>18.144490334033843</v>
      </c>
      <c r="V131" s="93">
        <f t="shared" si="55"/>
        <v>3.8200000000000003</v>
      </c>
      <c r="W131" s="38">
        <f t="shared" si="80"/>
        <v>-1957.5000000000002</v>
      </c>
      <c r="X131" s="38">
        <f t="shared" si="81"/>
        <v>143.28369769875007</v>
      </c>
      <c r="Y131" s="38">
        <f>$E$6*$B$5*$B$4</f>
        <v>568.98</v>
      </c>
      <c r="Z131" s="38">
        <f t="shared" si="59"/>
        <v>473.83370477674919</v>
      </c>
      <c r="AA131" s="38">
        <f t="shared" si="60"/>
        <v>-771.40259752450106</v>
      </c>
      <c r="AB131" s="38">
        <f t="shared" si="61"/>
        <v>-15640.187664809264</v>
      </c>
      <c r="AC131" s="38">
        <f t="shared" si="71"/>
        <v>162840.18766480926</v>
      </c>
      <c r="AD131" s="126">
        <f t="shared" si="62"/>
        <v>72.990000000000023</v>
      </c>
      <c r="AE131" s="126">
        <f t="shared" si="63"/>
        <v>0.11649500000000002</v>
      </c>
      <c r="AF131" s="126">
        <f t="shared" si="89"/>
        <v>96104.344713308063</v>
      </c>
      <c r="AG131" s="126">
        <f t="shared" si="90"/>
        <v>0</v>
      </c>
      <c r="AH131" s="126">
        <f t="shared" si="64"/>
        <v>24048.124835190752</v>
      </c>
      <c r="AI131" s="126">
        <f t="shared" si="65"/>
        <v>-39688.312500000015</v>
      </c>
      <c r="AJ131" s="126">
        <v>0</v>
      </c>
      <c r="AK131" s="126">
        <f t="shared" si="91"/>
        <v>0</v>
      </c>
      <c r="AL131" s="126">
        <f t="shared" si="92"/>
        <v>-15640.187664809264</v>
      </c>
      <c r="AM131" s="126">
        <f t="shared" si="94"/>
        <v>0</v>
      </c>
      <c r="AN131" s="126">
        <f t="shared" si="75"/>
        <v>0</v>
      </c>
      <c r="AO131" s="126">
        <f t="shared" si="93"/>
        <v>12496.509944182601</v>
      </c>
      <c r="AP131" s="126">
        <f t="shared" si="72"/>
        <v>7.9516803002520717</v>
      </c>
      <c r="AQ131" s="126">
        <f t="shared" si="66"/>
        <v>32.063227017145451</v>
      </c>
      <c r="AR131" s="126">
        <f t="shared" si="73"/>
        <v>0</v>
      </c>
      <c r="AS131" s="122"/>
      <c r="AT131" s="122"/>
      <c r="AU131" s="122"/>
      <c r="AV131" s="122"/>
      <c r="AW131" s="122"/>
      <c r="AX131" s="122"/>
      <c r="AY131" s="122"/>
      <c r="AZ131" s="122"/>
      <c r="BA131" s="122"/>
      <c r="BB131" s="122"/>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c r="CB131" s="69"/>
      <c r="CC131" s="69"/>
      <c r="CD131" s="69"/>
      <c r="CE131" s="69"/>
      <c r="CF131" s="69"/>
      <c r="CG131" s="69"/>
      <c r="CH131" s="69"/>
      <c r="CI131" s="69"/>
      <c r="CJ131" s="69"/>
      <c r="CK131" s="69"/>
      <c r="CL131" s="69"/>
      <c r="CM131" s="69"/>
      <c r="CN131" s="69"/>
      <c r="CO131" s="69"/>
      <c r="CP131" s="69"/>
      <c r="CQ131" s="69"/>
      <c r="CR131" s="69"/>
      <c r="CS131" s="69"/>
      <c r="CT131" s="69"/>
      <c r="CU131" s="69"/>
      <c r="CV131" s="69"/>
      <c r="CW131" s="69"/>
    </row>
    <row r="132" spans="1:101" ht="19.5" x14ac:dyDescent="0.35">
      <c r="A132" s="122"/>
      <c r="B132" s="122"/>
      <c r="C132" s="122"/>
      <c r="D132" s="122"/>
      <c r="E132" s="122"/>
      <c r="F132" s="122"/>
      <c r="G132" s="122"/>
      <c r="H132" s="122"/>
      <c r="I132" s="122"/>
      <c r="J132" s="122"/>
      <c r="K132" s="38">
        <v>1</v>
      </c>
      <c r="L132" s="38">
        <v>47</v>
      </c>
      <c r="M132" s="112">
        <v>-2.9</v>
      </c>
      <c r="N132" s="38">
        <f t="shared" si="87"/>
        <v>-37.841717231030209</v>
      </c>
      <c r="O132" s="38">
        <f t="shared" si="74"/>
        <v>17.375000000000007</v>
      </c>
      <c r="P132" s="38">
        <f t="shared" si="54"/>
        <v>38.867875000000019</v>
      </c>
      <c r="Q132" s="38">
        <f t="shared" si="68"/>
        <v>17.375000000000007</v>
      </c>
      <c r="R132" s="93">
        <f t="shared" si="85"/>
        <v>420.6790000000002</v>
      </c>
      <c r="S132" s="103">
        <v>9.2068962213459002</v>
      </c>
      <c r="T132" s="97">
        <f t="shared" si="88"/>
        <v>2.7800000000000011</v>
      </c>
      <c r="U132" s="93">
        <f t="shared" si="86"/>
        <v>20.924490334033845</v>
      </c>
      <c r="V132" s="93">
        <f t="shared" si="55"/>
        <v>9.2068962213459002</v>
      </c>
      <c r="W132" s="38">
        <f t="shared" si="80"/>
        <v>-2102.5</v>
      </c>
      <c r="X132" s="38">
        <f t="shared" si="81"/>
        <v>105.22639246875008</v>
      </c>
      <c r="Y132" s="38">
        <f>$E$6*$B$5*$B$4</f>
        <v>568.98</v>
      </c>
      <c r="Z132" s="38">
        <f t="shared" si="59"/>
        <v>1137.96</v>
      </c>
      <c r="AA132" s="38">
        <f t="shared" si="60"/>
        <v>-290.33360753124998</v>
      </c>
      <c r="AB132" s="38">
        <f t="shared" si="61"/>
        <v>-5044.5464308554701</v>
      </c>
      <c r="AC132" s="38">
        <f t="shared" si="71"/>
        <v>152244.54643085547</v>
      </c>
      <c r="AD132" s="126">
        <f t="shared" si="62"/>
        <v>62.550000000000026</v>
      </c>
      <c r="AE132" s="126">
        <f t="shared" si="63"/>
        <v>0.11127500000000001</v>
      </c>
      <c r="AF132" s="126">
        <f t="shared" si="89"/>
        <v>66093.61829468816</v>
      </c>
      <c r="AG132" s="126">
        <f t="shared" si="90"/>
        <v>0</v>
      </c>
      <c r="AH132" s="126">
        <f t="shared" si="64"/>
        <v>31486.391069144545</v>
      </c>
      <c r="AI132" s="126">
        <f t="shared" si="65"/>
        <v>-36530.937500000015</v>
      </c>
      <c r="AJ132" s="126">
        <f t="shared" ref="AJ132:AJ155" si="95">COUNTIF(AB132,"&gt;8000")</f>
        <v>0</v>
      </c>
      <c r="AK132" s="126">
        <f t="shared" si="91"/>
        <v>0</v>
      </c>
      <c r="AL132" s="126">
        <f t="shared" si="92"/>
        <v>-5044.5464308554701</v>
      </c>
      <c r="AM132" s="126">
        <f t="shared" si="94"/>
        <v>0</v>
      </c>
      <c r="AN132" s="126">
        <f t="shared" si="75"/>
        <v>0</v>
      </c>
      <c r="AO132" s="126">
        <f t="shared" si="93"/>
        <v>4030.5925982535205</v>
      </c>
      <c r="AP132" s="126">
        <f t="shared" si="72"/>
        <v>8.6234457332943251</v>
      </c>
      <c r="AQ132" s="126">
        <f t="shared" si="66"/>
        <v>34.771958601993248</v>
      </c>
      <c r="AR132" s="126">
        <f t="shared" si="73"/>
        <v>0</v>
      </c>
      <c r="AS132" s="122"/>
      <c r="AT132" s="122"/>
      <c r="AU132" s="122"/>
      <c r="AV132" s="122"/>
      <c r="AW132" s="122"/>
      <c r="AX132" s="122"/>
      <c r="AY132" s="122"/>
      <c r="AZ132" s="122"/>
      <c r="BA132" s="122"/>
      <c r="BB132" s="122"/>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c r="CB132" s="69"/>
      <c r="CC132" s="69"/>
      <c r="CD132" s="69"/>
      <c r="CE132" s="69"/>
      <c r="CF132" s="69"/>
      <c r="CG132" s="69"/>
      <c r="CH132" s="69"/>
      <c r="CI132" s="69"/>
      <c r="CJ132" s="69"/>
      <c r="CK132" s="69"/>
      <c r="CL132" s="69"/>
      <c r="CM132" s="69"/>
      <c r="CN132" s="69"/>
      <c r="CO132" s="69"/>
      <c r="CP132" s="69"/>
      <c r="CQ132" s="69"/>
      <c r="CR132" s="69"/>
      <c r="CS132" s="69"/>
      <c r="CT132" s="69"/>
      <c r="CU132" s="69"/>
      <c r="CV132" s="69"/>
      <c r="CW132" s="69"/>
    </row>
    <row r="133" spans="1:101" ht="19.5" x14ac:dyDescent="0.35">
      <c r="A133" s="122"/>
      <c r="B133" s="122"/>
      <c r="C133" s="122"/>
      <c r="D133" s="122"/>
      <c r="E133" s="122"/>
      <c r="F133" s="122"/>
      <c r="G133" s="122"/>
      <c r="H133" s="122"/>
      <c r="I133" s="122"/>
      <c r="J133" s="122"/>
      <c r="K133" s="38">
        <v>1</v>
      </c>
      <c r="L133" s="38">
        <v>48</v>
      </c>
      <c r="M133" s="112">
        <v>-2.9</v>
      </c>
      <c r="N133" s="38">
        <f t="shared" si="87"/>
        <v>-37.841717231030209</v>
      </c>
      <c r="O133" s="38">
        <f t="shared" si="74"/>
        <v>14.475000000000007</v>
      </c>
      <c r="P133" s="38">
        <f t="shared" si="54"/>
        <v>32.380575000000015</v>
      </c>
      <c r="Q133" s="38">
        <f t="shared" si="68"/>
        <v>14.475000000000007</v>
      </c>
      <c r="R133" s="102">
        <f t="shared" si="85"/>
        <v>435.15400000000022</v>
      </c>
      <c r="S133" s="103">
        <v>6.89</v>
      </c>
      <c r="T133" s="97">
        <f t="shared" si="88"/>
        <v>1.7364726491570799</v>
      </c>
      <c r="U133" s="100">
        <f t="shared" si="86"/>
        <v>22.660962983190924</v>
      </c>
      <c r="V133" s="93">
        <f t="shared" si="55"/>
        <v>6.89</v>
      </c>
      <c r="W133" s="38">
        <f t="shared" si="80"/>
        <v>-2102.5</v>
      </c>
      <c r="X133" s="38">
        <f t="shared" si="81"/>
        <v>73.03183279875006</v>
      </c>
      <c r="Y133" s="38">
        <f t="shared" ref="Y133:Y144" si="96">$E$6*$B$5*$B$4</f>
        <v>568.98</v>
      </c>
      <c r="Z133" s="38">
        <f t="shared" si="59"/>
        <v>853.21088766614412</v>
      </c>
      <c r="AA133" s="38">
        <f t="shared" si="60"/>
        <v>-607.27727953510566</v>
      </c>
      <c r="AB133" s="38">
        <f t="shared" si="61"/>
        <v>-8790.3386212706591</v>
      </c>
      <c r="AC133" s="38">
        <f t="shared" si="71"/>
        <v>155990.33862127067</v>
      </c>
      <c r="AD133" s="126">
        <f t="shared" si="62"/>
        <v>52.110000000000028</v>
      </c>
      <c r="AE133" s="126">
        <f t="shared" si="63"/>
        <v>0.10605500000000001</v>
      </c>
      <c r="AF133" s="126">
        <f t="shared" si="89"/>
        <v>43453.479771814003</v>
      </c>
      <c r="AG133" s="126">
        <f t="shared" si="90"/>
        <v>0</v>
      </c>
      <c r="AH133" s="126">
        <f t="shared" si="64"/>
        <v>21643.348878729357</v>
      </c>
      <c r="AI133" s="126">
        <f t="shared" si="65"/>
        <v>-30433.687500000015</v>
      </c>
      <c r="AJ133" s="126">
        <f t="shared" si="95"/>
        <v>0</v>
      </c>
      <c r="AK133" s="126">
        <f t="shared" si="91"/>
        <v>0</v>
      </c>
      <c r="AL133" s="126">
        <f t="shared" si="92"/>
        <v>-8790.3386212706591</v>
      </c>
      <c r="AM133" s="126">
        <f t="shared" si="94"/>
        <v>0</v>
      </c>
      <c r="AN133" s="126">
        <f t="shared" si="75"/>
        <v>0</v>
      </c>
      <c r="AO133" s="126">
        <f t="shared" si="93"/>
        <v>7023.4805583952557</v>
      </c>
      <c r="AP133" s="126">
        <f t="shared" si="72"/>
        <v>9.7940258263602011</v>
      </c>
      <c r="AQ133" s="126">
        <f t="shared" si="66"/>
        <v>39.492039622420165</v>
      </c>
      <c r="AR133" s="126">
        <f t="shared" si="73"/>
        <v>0</v>
      </c>
      <c r="AS133" s="122"/>
      <c r="AT133" s="122"/>
      <c r="AU133" s="122"/>
      <c r="AV133" s="122"/>
      <c r="AW133" s="122"/>
      <c r="AX133" s="122"/>
      <c r="AY133" s="122"/>
      <c r="AZ133" s="122"/>
      <c r="BA133" s="122"/>
      <c r="BB133" s="122"/>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c r="CB133" s="69"/>
      <c r="CC133" s="69"/>
      <c r="CD133" s="69"/>
      <c r="CE133" s="69"/>
      <c r="CF133" s="69"/>
      <c r="CG133" s="69"/>
      <c r="CH133" s="69"/>
      <c r="CI133" s="69"/>
      <c r="CJ133" s="69"/>
      <c r="CK133" s="69"/>
      <c r="CL133" s="69"/>
      <c r="CM133" s="69"/>
      <c r="CN133" s="69"/>
      <c r="CO133" s="69"/>
      <c r="CP133" s="69"/>
      <c r="CQ133" s="69"/>
      <c r="CR133" s="69"/>
      <c r="CS133" s="69"/>
      <c r="CT133" s="69"/>
      <c r="CU133" s="69"/>
      <c r="CV133" s="69"/>
      <c r="CW133" s="69"/>
    </row>
    <row r="134" spans="1:101" ht="19.5" x14ac:dyDescent="0.35">
      <c r="A134" s="122"/>
      <c r="B134" s="122"/>
      <c r="C134" s="122"/>
      <c r="D134" s="122"/>
      <c r="E134" s="122"/>
      <c r="F134" s="122"/>
      <c r="G134" s="122"/>
      <c r="H134" s="122"/>
      <c r="I134" s="122"/>
      <c r="J134" s="122"/>
      <c r="K134" s="38">
        <v>1</v>
      </c>
      <c r="L134" s="38">
        <v>49</v>
      </c>
      <c r="M134" s="112">
        <v>-2</v>
      </c>
      <c r="N134" s="38">
        <f t="shared" si="87"/>
        <v>-26.097736021400141</v>
      </c>
      <c r="O134" s="38">
        <f t="shared" si="74"/>
        <v>12.475000000000007</v>
      </c>
      <c r="P134" s="38">
        <f t="shared" si="54"/>
        <v>27.906575000000018</v>
      </c>
      <c r="Q134" s="38">
        <f t="shared" si="68"/>
        <v>12.475000000000007</v>
      </c>
      <c r="R134" s="93">
        <f t="shared" si="85"/>
        <v>447.62900000000025</v>
      </c>
      <c r="S134" s="103">
        <v>6.89</v>
      </c>
      <c r="T134" s="97">
        <f t="shared" si="88"/>
        <v>1.496545512831404</v>
      </c>
      <c r="U134" s="93">
        <f t="shared" si="86"/>
        <v>24.157508496022327</v>
      </c>
      <c r="V134" s="93">
        <f t="shared" si="55"/>
        <v>6.89</v>
      </c>
      <c r="W134" s="38">
        <f t="shared" si="80"/>
        <v>-1450</v>
      </c>
      <c r="X134" s="38">
        <f t="shared" si="81"/>
        <v>54.244556598750052</v>
      </c>
      <c r="Y134" s="38">
        <f t="shared" si="96"/>
        <v>568.98</v>
      </c>
      <c r="Z134" s="38">
        <f t="shared" si="59"/>
        <v>853.21088766614412</v>
      </c>
      <c r="AA134" s="38">
        <f t="shared" si="60"/>
        <v>26.435444264894159</v>
      </c>
      <c r="AB134" s="38">
        <f t="shared" si="61"/>
        <v>329.78216720455481</v>
      </c>
      <c r="AC134" s="38">
        <f t="shared" si="71"/>
        <v>146870.21783279543</v>
      </c>
      <c r="AD134" s="126">
        <f t="shared" si="62"/>
        <v>44.910000000000025</v>
      </c>
      <c r="AE134" s="126">
        <f t="shared" si="63"/>
        <v>0.10245500000000002</v>
      </c>
      <c r="AF134" s="126">
        <f t="shared" si="89"/>
        <v>31524.510390791973</v>
      </c>
      <c r="AG134" s="126">
        <f t="shared" si="90"/>
        <v>329.78216720455481</v>
      </c>
      <c r="AH134" s="126">
        <f t="shared" si="64"/>
        <v>18418.532167204565</v>
      </c>
      <c r="AI134" s="126">
        <f t="shared" si="65"/>
        <v>-18088.750000000011</v>
      </c>
      <c r="AJ134" s="126">
        <f t="shared" si="95"/>
        <v>0</v>
      </c>
      <c r="AK134" s="126">
        <f t="shared" si="91"/>
        <v>0</v>
      </c>
      <c r="AL134" s="126">
        <f t="shared" si="92"/>
        <v>329.78216720455481</v>
      </c>
      <c r="AM134" s="126">
        <f t="shared" si="94"/>
        <v>412.74363855388589</v>
      </c>
      <c r="AN134" s="126">
        <f t="shared" si="75"/>
        <v>329.78216720455481</v>
      </c>
      <c r="AO134" s="126">
        <f t="shared" si="93"/>
        <v>0</v>
      </c>
      <c r="AP134" s="126">
        <f t="shared" si="72"/>
        <v>9.7252352199345538</v>
      </c>
      <c r="AQ134" s="126">
        <f t="shared" si="66"/>
        <v>39.214658144897392</v>
      </c>
      <c r="AR134" s="126">
        <f t="shared" si="73"/>
        <v>0</v>
      </c>
      <c r="AS134" s="122"/>
      <c r="AT134" s="122"/>
      <c r="AU134" s="122"/>
      <c r="AV134" s="122"/>
      <c r="AW134" s="122"/>
      <c r="AX134" s="122"/>
      <c r="AY134" s="122"/>
      <c r="AZ134" s="122"/>
      <c r="BA134" s="122"/>
      <c r="BB134" s="122"/>
      <c r="BC134" s="69"/>
      <c r="BD134" s="69"/>
      <c r="BE134" s="69"/>
      <c r="BF134" s="69"/>
      <c r="BG134" s="69"/>
      <c r="BH134" s="69"/>
      <c r="BI134" s="69"/>
      <c r="BJ134" s="69"/>
      <c r="BK134" s="69"/>
      <c r="BL134" s="69"/>
      <c r="BM134" s="69"/>
      <c r="BN134" s="69"/>
      <c r="BO134" s="69"/>
      <c r="BP134" s="69"/>
      <c r="BQ134" s="69"/>
      <c r="BR134" s="69"/>
      <c r="BS134" s="69"/>
      <c r="BT134" s="69"/>
      <c r="BU134" s="69"/>
      <c r="BV134" s="69"/>
      <c r="BW134" s="69"/>
      <c r="BX134" s="69"/>
      <c r="BY134" s="69"/>
      <c r="BZ134" s="69"/>
      <c r="CA134" s="69"/>
      <c r="CB134" s="69"/>
      <c r="CC134" s="69"/>
      <c r="CD134" s="69"/>
      <c r="CE134" s="69"/>
      <c r="CF134" s="69"/>
      <c r="CG134" s="69"/>
      <c r="CH134" s="69"/>
      <c r="CI134" s="69"/>
      <c r="CJ134" s="69"/>
      <c r="CK134" s="69"/>
      <c r="CL134" s="69"/>
      <c r="CM134" s="69"/>
      <c r="CN134" s="69"/>
      <c r="CO134" s="69"/>
      <c r="CP134" s="69"/>
      <c r="CQ134" s="69"/>
      <c r="CR134" s="69"/>
      <c r="CS134" s="69"/>
      <c r="CT134" s="69"/>
      <c r="CU134" s="69"/>
      <c r="CV134" s="69"/>
      <c r="CW134" s="69"/>
    </row>
    <row r="135" spans="1:101" ht="19.5" x14ac:dyDescent="0.35">
      <c r="A135" s="122"/>
      <c r="B135" s="122"/>
      <c r="C135" s="122"/>
      <c r="D135" s="122"/>
      <c r="E135" s="122"/>
      <c r="F135" s="122"/>
      <c r="G135" s="122"/>
      <c r="H135" s="122"/>
      <c r="I135" s="122"/>
      <c r="J135" s="122"/>
      <c r="K135" s="38">
        <v>1</v>
      </c>
      <c r="L135" s="38">
        <v>50</v>
      </c>
      <c r="M135" s="112">
        <v>-2</v>
      </c>
      <c r="N135" s="38">
        <f t="shared" si="87"/>
        <v>-26.097736021400141</v>
      </c>
      <c r="O135" s="38">
        <f t="shared" si="74"/>
        <v>10.475000000000007</v>
      </c>
      <c r="P135" s="38">
        <f t="shared" si="54"/>
        <v>23.432575000000018</v>
      </c>
      <c r="Q135" s="38">
        <f t="shared" si="68"/>
        <v>10.475000000000007</v>
      </c>
      <c r="R135" s="93">
        <f t="shared" si="85"/>
        <v>458.10400000000027</v>
      </c>
      <c r="S135" s="103">
        <v>6.89</v>
      </c>
      <c r="T135" s="97">
        <f t="shared" si="88"/>
        <v>1.2566183765057282</v>
      </c>
      <c r="U135" s="93">
        <f t="shared" si="86"/>
        <v>25.414126872528055</v>
      </c>
      <c r="V135" s="93">
        <f t="shared" si="55"/>
        <v>6.89</v>
      </c>
      <c r="W135" s="38">
        <f t="shared" si="80"/>
        <v>-1450</v>
      </c>
      <c r="X135" s="38">
        <f t="shared" si="81"/>
        <v>38.245744398750048</v>
      </c>
      <c r="Y135" s="38">
        <f t="shared" si="96"/>
        <v>568.98</v>
      </c>
      <c r="Z135" s="38">
        <f t="shared" si="59"/>
        <v>853.21088766614412</v>
      </c>
      <c r="AA135" s="38">
        <f t="shared" si="60"/>
        <v>10.436632064894184</v>
      </c>
      <c r="AB135" s="38">
        <f t="shared" si="61"/>
        <v>109.32372087976664</v>
      </c>
      <c r="AC135" s="38">
        <f t="shared" si="71"/>
        <v>147090.67627912023</v>
      </c>
      <c r="AD135" s="126">
        <f t="shared" si="62"/>
        <v>37.710000000000022</v>
      </c>
      <c r="AE135" s="126">
        <f t="shared" si="63"/>
        <v>9.8855000000000012E-2</v>
      </c>
      <c r="AF135" s="126">
        <f t="shared" si="89"/>
        <v>22163.512980511663</v>
      </c>
      <c r="AG135" s="126">
        <f t="shared" si="90"/>
        <v>109.32372087976664</v>
      </c>
      <c r="AH135" s="126">
        <f t="shared" si="64"/>
        <v>15298.073720879776</v>
      </c>
      <c r="AI135" s="126">
        <f t="shared" si="65"/>
        <v>-15188.750000000009</v>
      </c>
      <c r="AJ135" s="126">
        <f t="shared" si="95"/>
        <v>0</v>
      </c>
      <c r="AK135" s="126">
        <f t="shared" si="91"/>
        <v>0</v>
      </c>
      <c r="AL135" s="126">
        <f t="shared" si="92"/>
        <v>109.32372087976664</v>
      </c>
      <c r="AM135" s="126">
        <f t="shared" si="94"/>
        <v>136.82568320371294</v>
      </c>
      <c r="AN135" s="126">
        <f t="shared" si="75"/>
        <v>109.32372087976664</v>
      </c>
      <c r="AO135" s="126">
        <f t="shared" si="93"/>
        <v>0</v>
      </c>
      <c r="AP135" s="126">
        <f t="shared" si="72"/>
        <v>9.7024309394006014</v>
      </c>
      <c r="AQ135" s="126">
        <f t="shared" si="66"/>
        <v>39.122705400808876</v>
      </c>
      <c r="AR135" s="126">
        <f t="shared" si="73"/>
        <v>0</v>
      </c>
      <c r="AS135" s="122"/>
      <c r="AT135" s="122"/>
      <c r="AU135" s="122"/>
      <c r="AV135" s="122"/>
      <c r="AW135" s="122"/>
      <c r="AX135" s="122"/>
      <c r="AY135" s="122"/>
      <c r="AZ135" s="122"/>
      <c r="BA135" s="122"/>
      <c r="BB135" s="122"/>
      <c r="BC135" s="69"/>
      <c r="BD135" s="69"/>
      <c r="BE135" s="69"/>
      <c r="BF135" s="69"/>
      <c r="BG135" s="69"/>
      <c r="BH135" s="69"/>
      <c r="BI135" s="69"/>
      <c r="BJ135" s="69"/>
      <c r="BK135" s="69"/>
      <c r="BL135" s="69"/>
      <c r="BM135" s="69"/>
      <c r="BN135" s="69"/>
      <c r="BO135" s="69"/>
      <c r="BP135" s="69"/>
      <c r="BQ135" s="69"/>
      <c r="BR135" s="69"/>
      <c r="BS135" s="69"/>
      <c r="BT135" s="69"/>
      <c r="BU135" s="69"/>
      <c r="BV135" s="69"/>
      <c r="BW135" s="69"/>
      <c r="BX135" s="69"/>
      <c r="BY135" s="69"/>
      <c r="BZ135" s="69"/>
      <c r="CA135" s="69"/>
      <c r="CB135" s="69"/>
      <c r="CC135" s="69"/>
      <c r="CD135" s="69"/>
      <c r="CE135" s="69"/>
      <c r="CF135" s="69"/>
      <c r="CG135" s="69"/>
      <c r="CH135" s="69"/>
      <c r="CI135" s="69"/>
      <c r="CJ135" s="69"/>
      <c r="CK135" s="69"/>
      <c r="CL135" s="69"/>
      <c r="CM135" s="69"/>
      <c r="CN135" s="69"/>
      <c r="CO135" s="69"/>
      <c r="CP135" s="69"/>
      <c r="CQ135" s="69"/>
      <c r="CR135" s="69"/>
      <c r="CS135" s="69"/>
      <c r="CT135" s="69"/>
      <c r="CU135" s="69"/>
      <c r="CV135" s="69"/>
      <c r="CW135" s="69"/>
    </row>
    <row r="136" spans="1:101" ht="19.5" x14ac:dyDescent="0.35">
      <c r="A136" s="122"/>
      <c r="B136" s="122"/>
      <c r="C136" s="122"/>
      <c r="D136" s="122"/>
      <c r="E136" s="122"/>
      <c r="F136" s="122"/>
      <c r="G136" s="122"/>
      <c r="H136" s="122"/>
      <c r="I136" s="122"/>
      <c r="J136" s="122"/>
      <c r="K136" s="38">
        <v>1</v>
      </c>
      <c r="L136" s="38">
        <v>51</v>
      </c>
      <c r="M136" s="112">
        <v>-1.9</v>
      </c>
      <c r="N136" s="38">
        <f t="shared" si="87"/>
        <v>-24.792849220330133</v>
      </c>
      <c r="O136" s="38">
        <f t="shared" si="74"/>
        <v>8.5750000000000064</v>
      </c>
      <c r="P136" s="38">
        <f t="shared" si="54"/>
        <v>19.182275000000015</v>
      </c>
      <c r="Q136" s="38">
        <f t="shared" si="68"/>
        <v>8.5750000000000064</v>
      </c>
      <c r="R136" s="93">
        <f t="shared" si="85"/>
        <v>466.67900000000026</v>
      </c>
      <c r="S136" s="103">
        <v>6.89</v>
      </c>
      <c r="T136" s="97">
        <f t="shared" si="88"/>
        <v>1.0286875969963361</v>
      </c>
      <c r="U136" s="93">
        <f t="shared" si="86"/>
        <v>26.442814469524389</v>
      </c>
      <c r="V136" s="93">
        <f t="shared" si="55"/>
        <v>6.89</v>
      </c>
      <c r="W136" s="38">
        <f t="shared" si="80"/>
        <v>-1377.5</v>
      </c>
      <c r="X136" s="38">
        <f t="shared" si="81"/>
        <v>25.629687588750038</v>
      </c>
      <c r="Y136" s="38">
        <f t="shared" si="96"/>
        <v>568.98</v>
      </c>
      <c r="Z136" s="38">
        <f t="shared" si="59"/>
        <v>853.21088766614412</v>
      </c>
      <c r="AA136" s="38">
        <f t="shared" si="60"/>
        <v>70.320575254894266</v>
      </c>
      <c r="AB136" s="38">
        <f t="shared" si="61"/>
        <v>602.99893281071877</v>
      </c>
      <c r="AC136" s="38">
        <f t="shared" si="71"/>
        <v>146597.00106718927</v>
      </c>
      <c r="AD136" s="126">
        <f t="shared" si="62"/>
        <v>30.870000000000022</v>
      </c>
      <c r="AE136" s="126">
        <f t="shared" si="63"/>
        <v>9.543500000000002E-2</v>
      </c>
      <c r="AF136" s="126">
        <f t="shared" si="89"/>
        <v>15300.565393206303</v>
      </c>
      <c r="AG136" s="126">
        <f t="shared" si="90"/>
        <v>602.99893281071877</v>
      </c>
      <c r="AH136" s="126">
        <f t="shared" si="64"/>
        <v>12415.061432810728</v>
      </c>
      <c r="AI136" s="126">
        <f t="shared" si="65"/>
        <v>-11812.062500000009</v>
      </c>
      <c r="AJ136" s="126">
        <f t="shared" si="95"/>
        <v>0</v>
      </c>
      <c r="AK136" s="126">
        <f t="shared" si="91"/>
        <v>0</v>
      </c>
      <c r="AL136" s="126">
        <f t="shared" si="92"/>
        <v>602.99893281071877</v>
      </c>
      <c r="AM136" s="126">
        <f t="shared" si="94"/>
        <v>754.69203105221379</v>
      </c>
      <c r="AN136" s="126">
        <f t="shared" si="75"/>
        <v>602.99893281071877</v>
      </c>
      <c r="AO136" s="126">
        <f t="shared" si="93"/>
        <v>0</v>
      </c>
      <c r="AP136" s="126">
        <f t="shared" si="72"/>
        <v>9.5766489342252328</v>
      </c>
      <c r="AQ136" s="126">
        <f t="shared" si="66"/>
        <v>38.615519896069486</v>
      </c>
      <c r="AR136" s="126">
        <f t="shared" si="73"/>
        <v>0</v>
      </c>
      <c r="AS136" s="122"/>
      <c r="AT136" s="122"/>
      <c r="AU136" s="122"/>
      <c r="AV136" s="122"/>
      <c r="AW136" s="122"/>
      <c r="AX136" s="122"/>
      <c r="AY136" s="122"/>
      <c r="AZ136" s="122"/>
      <c r="BA136" s="122"/>
      <c r="BB136" s="122"/>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c r="CA136" s="69"/>
      <c r="CB136" s="69"/>
      <c r="CC136" s="69"/>
      <c r="CD136" s="69"/>
      <c r="CE136" s="69"/>
      <c r="CF136" s="69"/>
      <c r="CG136" s="69"/>
      <c r="CH136" s="69"/>
      <c r="CI136" s="69"/>
      <c r="CJ136" s="69"/>
      <c r="CK136" s="69"/>
      <c r="CL136" s="69"/>
      <c r="CM136" s="69"/>
      <c r="CN136" s="69"/>
      <c r="CO136" s="69"/>
      <c r="CP136" s="69"/>
      <c r="CQ136" s="69"/>
      <c r="CR136" s="69"/>
      <c r="CS136" s="69"/>
      <c r="CT136" s="69"/>
      <c r="CU136" s="69"/>
      <c r="CV136" s="69"/>
      <c r="CW136" s="69"/>
    </row>
    <row r="137" spans="1:101" ht="19.5" x14ac:dyDescent="0.35">
      <c r="A137" s="122"/>
      <c r="B137" s="122"/>
      <c r="C137" s="122"/>
      <c r="D137" s="122"/>
      <c r="E137" s="122"/>
      <c r="F137" s="122"/>
      <c r="G137" s="122"/>
      <c r="H137" s="122"/>
      <c r="I137" s="122"/>
      <c r="J137" s="122"/>
      <c r="K137" s="38">
        <v>1</v>
      </c>
      <c r="L137" s="38">
        <v>52</v>
      </c>
      <c r="M137" s="112">
        <v>-1.6</v>
      </c>
      <c r="N137" s="38">
        <f t="shared" si="87"/>
        <v>-20.878188817120115</v>
      </c>
      <c r="O137" s="38">
        <f t="shared" si="74"/>
        <v>6.9750000000000068</v>
      </c>
      <c r="P137" s="38">
        <f t="shared" si="54"/>
        <v>15.603075000000016</v>
      </c>
      <c r="Q137" s="38">
        <f t="shared" si="68"/>
        <v>6.9750000000000068</v>
      </c>
      <c r="R137" s="93">
        <f t="shared" si="85"/>
        <v>473.65400000000028</v>
      </c>
      <c r="S137" s="103">
        <v>6.89</v>
      </c>
      <c r="T137" s="97">
        <f t="shared" si="88"/>
        <v>0.83674588793579541</v>
      </c>
      <c r="U137" s="93">
        <f t="shared" si="86"/>
        <v>27.279560357460184</v>
      </c>
      <c r="V137" s="93">
        <f t="shared" si="55"/>
        <v>6.89</v>
      </c>
      <c r="W137" s="38">
        <f t="shared" si="80"/>
        <v>-1160</v>
      </c>
      <c r="X137" s="38">
        <f t="shared" si="81"/>
        <v>16.957564548750032</v>
      </c>
      <c r="Y137" s="38">
        <f t="shared" si="96"/>
        <v>568.98</v>
      </c>
      <c r="Z137" s="38">
        <f t="shared" si="59"/>
        <v>853.21088766614412</v>
      </c>
      <c r="AA137" s="38">
        <f t="shared" si="60"/>
        <v>279.14845221489418</v>
      </c>
      <c r="AB137" s="38">
        <f t="shared" si="61"/>
        <v>1947.0604541988887</v>
      </c>
      <c r="AC137" s="38">
        <f t="shared" si="71"/>
        <v>145252.93954580111</v>
      </c>
      <c r="AD137" s="126">
        <f t="shared" si="62"/>
        <v>25.110000000000024</v>
      </c>
      <c r="AE137" s="126">
        <f t="shared" si="63"/>
        <v>9.2555000000000012E-2</v>
      </c>
      <c r="AF137" s="126">
        <f t="shared" si="89"/>
        <v>10809.806918025401</v>
      </c>
      <c r="AG137" s="126">
        <f t="shared" si="90"/>
        <v>1947.0604541988887</v>
      </c>
      <c r="AH137" s="126">
        <f t="shared" si="64"/>
        <v>10038.060454198896</v>
      </c>
      <c r="AI137" s="126">
        <f t="shared" si="65"/>
        <v>-8091.0000000000082</v>
      </c>
      <c r="AJ137" s="126">
        <f t="shared" si="95"/>
        <v>0</v>
      </c>
      <c r="AK137" s="126">
        <f t="shared" si="91"/>
        <v>0</v>
      </c>
      <c r="AL137" s="126">
        <f t="shared" si="92"/>
        <v>1947.0604541988887</v>
      </c>
      <c r="AM137" s="126">
        <f t="shared" si="94"/>
        <v>2436.8716573202614</v>
      </c>
      <c r="AN137" s="126">
        <f t="shared" si="75"/>
        <v>1947.0604541988887</v>
      </c>
      <c r="AO137" s="126">
        <f t="shared" si="93"/>
        <v>0</v>
      </c>
      <c r="AP137" s="126">
        <f t="shared" si="72"/>
        <v>9.17050365800519</v>
      </c>
      <c r="AQ137" s="126">
        <f t="shared" si="66"/>
        <v>36.977837330666084</v>
      </c>
      <c r="AR137" s="126">
        <f t="shared" si="73"/>
        <v>0</v>
      </c>
      <c r="AS137" s="122"/>
      <c r="AT137" s="122"/>
      <c r="AU137" s="122"/>
      <c r="AV137" s="122"/>
      <c r="AW137" s="122"/>
      <c r="AX137" s="122"/>
      <c r="AY137" s="122"/>
      <c r="AZ137" s="122"/>
      <c r="BA137" s="122"/>
      <c r="BB137" s="122"/>
      <c r="BC137" s="69"/>
      <c r="BD137" s="69"/>
      <c r="BE137" s="69"/>
      <c r="BF137" s="69"/>
      <c r="BG137" s="69"/>
      <c r="BH137" s="69"/>
      <c r="BI137" s="69"/>
      <c r="BJ137" s="69"/>
      <c r="BK137" s="69"/>
      <c r="BL137" s="69"/>
      <c r="BM137" s="69"/>
      <c r="BN137" s="69"/>
      <c r="BO137" s="69"/>
      <c r="BP137" s="69"/>
      <c r="BQ137" s="69"/>
      <c r="BR137" s="69"/>
      <c r="BS137" s="69"/>
      <c r="BT137" s="69"/>
      <c r="BU137" s="69"/>
      <c r="BV137" s="69"/>
      <c r="BW137" s="69"/>
      <c r="BX137" s="69"/>
      <c r="BY137" s="69"/>
      <c r="BZ137" s="69"/>
      <c r="CA137" s="69"/>
      <c r="CB137" s="69"/>
      <c r="CC137" s="69"/>
      <c r="CD137" s="69"/>
      <c r="CE137" s="69"/>
      <c r="CF137" s="69"/>
      <c r="CG137" s="69"/>
      <c r="CH137" s="69"/>
      <c r="CI137" s="69"/>
      <c r="CJ137" s="69"/>
      <c r="CK137" s="69"/>
      <c r="CL137" s="69"/>
      <c r="CM137" s="69"/>
      <c r="CN137" s="69"/>
      <c r="CO137" s="69"/>
      <c r="CP137" s="69"/>
      <c r="CQ137" s="69"/>
      <c r="CR137" s="69"/>
      <c r="CS137" s="69"/>
      <c r="CT137" s="69"/>
      <c r="CU137" s="69"/>
      <c r="CV137" s="69"/>
      <c r="CW137" s="69"/>
    </row>
    <row r="138" spans="1:101" ht="19.5" x14ac:dyDescent="0.35">
      <c r="A138" s="122"/>
      <c r="B138" s="122"/>
      <c r="C138" s="122"/>
      <c r="D138" s="122"/>
      <c r="E138" s="122"/>
      <c r="F138" s="122"/>
      <c r="G138" s="122"/>
      <c r="H138" s="122"/>
      <c r="I138" s="122"/>
      <c r="J138" s="122"/>
      <c r="K138" s="38">
        <v>1</v>
      </c>
      <c r="L138" s="38">
        <v>53</v>
      </c>
      <c r="M138" s="112">
        <v>-1.5</v>
      </c>
      <c r="N138" s="38">
        <f t="shared" si="87"/>
        <v>-19.573302016050107</v>
      </c>
      <c r="O138" s="38">
        <f t="shared" si="74"/>
        <v>5.4750000000000068</v>
      </c>
      <c r="P138" s="38">
        <f t="shared" si="54"/>
        <v>12.247575000000015</v>
      </c>
      <c r="Q138" s="38">
        <f t="shared" si="68"/>
        <v>5.4750000000000068</v>
      </c>
      <c r="R138" s="100">
        <f t="shared" si="85"/>
        <v>479.1290000000003</v>
      </c>
      <c r="S138" s="103">
        <v>-1.99</v>
      </c>
      <c r="T138" s="97">
        <f t="shared" si="88"/>
        <v>-0.19011975588140392</v>
      </c>
      <c r="U138" s="100">
        <f t="shared" si="86"/>
        <v>27.089440601578779</v>
      </c>
      <c r="V138" s="93">
        <f t="shared" si="55"/>
        <v>-1.9899999999999998</v>
      </c>
      <c r="W138" s="38">
        <f t="shared" si="80"/>
        <v>-1087.5</v>
      </c>
      <c r="X138" s="38">
        <f t="shared" si="81"/>
        <v>10.448243898750025</v>
      </c>
      <c r="Y138" s="38">
        <f t="shared" si="96"/>
        <v>568.98</v>
      </c>
      <c r="Z138" s="38">
        <f t="shared" si="59"/>
        <v>-246.97337603059606</v>
      </c>
      <c r="AA138" s="38">
        <f t="shared" si="60"/>
        <v>-755.045132131846</v>
      </c>
      <c r="AB138" s="38">
        <f t="shared" si="61"/>
        <v>-4133.8720984218617</v>
      </c>
      <c r="AC138" s="38">
        <f t="shared" si="71"/>
        <v>151333.87209842185</v>
      </c>
      <c r="AD138" s="126">
        <f t="shared" si="62"/>
        <v>19.710000000000026</v>
      </c>
      <c r="AE138" s="126">
        <f t="shared" si="63"/>
        <v>8.9855000000000018E-2</v>
      </c>
      <c r="AF138" s="126">
        <f t="shared" si="89"/>
        <v>7484.3117742393888</v>
      </c>
      <c r="AG138" s="126">
        <f t="shared" si="90"/>
        <v>0</v>
      </c>
      <c r="AH138" s="126">
        <f t="shared" si="64"/>
        <v>3172.3696353456603</v>
      </c>
      <c r="AI138" s="126">
        <f t="shared" si="65"/>
        <v>-7306.2417337675224</v>
      </c>
      <c r="AJ138" s="126">
        <f t="shared" si="95"/>
        <v>0</v>
      </c>
      <c r="AK138" s="126">
        <f t="shared" si="91"/>
        <v>0</v>
      </c>
      <c r="AL138" s="126">
        <f t="shared" si="92"/>
        <v>-4133.8720984218617</v>
      </c>
      <c r="AM138" s="126">
        <f t="shared" si="94"/>
        <v>0</v>
      </c>
      <c r="AN138" s="126">
        <f t="shared" si="75"/>
        <v>0</v>
      </c>
      <c r="AO138" s="126">
        <f t="shared" si="93"/>
        <v>3302.9638066390671</v>
      </c>
      <c r="AP138" s="126">
        <f t="shared" si="72"/>
        <v>9.7209976257783683</v>
      </c>
      <c r="AQ138" s="126">
        <f t="shared" si="66"/>
        <v>39.197571071686973</v>
      </c>
      <c r="AR138" s="126">
        <f t="shared" si="73"/>
        <v>0</v>
      </c>
      <c r="AS138" s="122"/>
      <c r="AT138" s="122"/>
      <c r="AU138" s="122"/>
      <c r="AV138" s="122"/>
      <c r="AW138" s="122"/>
      <c r="AX138" s="122"/>
      <c r="AY138" s="122"/>
      <c r="AZ138" s="122"/>
      <c r="BA138" s="122"/>
      <c r="BB138" s="122"/>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c r="CB138" s="69"/>
      <c r="CC138" s="69"/>
      <c r="CD138" s="69"/>
      <c r="CE138" s="69"/>
      <c r="CF138" s="69"/>
      <c r="CG138" s="69"/>
      <c r="CH138" s="69"/>
      <c r="CI138" s="69"/>
      <c r="CJ138" s="69"/>
      <c r="CK138" s="69"/>
      <c r="CL138" s="69"/>
      <c r="CM138" s="69"/>
      <c r="CN138" s="69"/>
      <c r="CO138" s="69"/>
      <c r="CP138" s="69"/>
      <c r="CQ138" s="69"/>
      <c r="CR138" s="69"/>
      <c r="CS138" s="69"/>
      <c r="CT138" s="69"/>
      <c r="CU138" s="69"/>
      <c r="CV138" s="69"/>
      <c r="CW138" s="69"/>
    </row>
    <row r="139" spans="1:101" ht="19.5" x14ac:dyDescent="0.35">
      <c r="A139" s="122"/>
      <c r="B139" s="122"/>
      <c r="C139" s="122"/>
      <c r="D139" s="122"/>
      <c r="E139" s="122"/>
      <c r="F139" s="122"/>
      <c r="G139" s="122"/>
      <c r="H139" s="122"/>
      <c r="I139" s="122"/>
      <c r="J139" s="122"/>
      <c r="K139" s="38">
        <v>1</v>
      </c>
      <c r="L139" s="38">
        <v>54</v>
      </c>
      <c r="M139" s="112">
        <v>1.3</v>
      </c>
      <c r="N139" s="38">
        <f t="shared" si="87"/>
        <v>16.963528413910094</v>
      </c>
      <c r="O139" s="38">
        <f t="shared" si="74"/>
        <v>6.7750000000000066</v>
      </c>
      <c r="P139" s="38">
        <f t="shared" si="54"/>
        <v>15.155675000000015</v>
      </c>
      <c r="Q139" s="38">
        <f t="shared" si="68"/>
        <v>6.7750000000000066</v>
      </c>
      <c r="R139" s="93">
        <f t="shared" si="85"/>
        <v>485.90400000000034</v>
      </c>
      <c r="S139" s="103">
        <v>-1.99</v>
      </c>
      <c r="T139" s="97">
        <f t="shared" si="88"/>
        <v>-0.23526234631899748</v>
      </c>
      <c r="U139" s="93">
        <f t="shared" si="86"/>
        <v>26.854178255259782</v>
      </c>
      <c r="V139" s="93">
        <f t="shared" si="55"/>
        <v>-1.9899999999999998</v>
      </c>
      <c r="W139" s="38">
        <f t="shared" si="80"/>
        <v>942.5</v>
      </c>
      <c r="X139" s="38">
        <f t="shared" si="81"/>
        <v>15.999030048750031</v>
      </c>
      <c r="Y139" s="38">
        <f t="shared" si="96"/>
        <v>568.98</v>
      </c>
      <c r="Z139" s="38">
        <f t="shared" si="59"/>
        <v>-246.97337603059606</v>
      </c>
      <c r="AA139" s="38">
        <f t="shared" si="60"/>
        <v>1280.505654018154</v>
      </c>
      <c r="AB139" s="38">
        <f t="shared" si="61"/>
        <v>8675.4258059730018</v>
      </c>
      <c r="AC139" s="38">
        <f t="shared" si="71"/>
        <v>138524.57419402699</v>
      </c>
      <c r="AD139" s="126">
        <f t="shared" si="62"/>
        <v>24.390000000000025</v>
      </c>
      <c r="AE139" s="126">
        <f t="shared" si="63"/>
        <v>9.2195000000000013E-2</v>
      </c>
      <c r="AF139" s="126">
        <f t="shared" si="89"/>
        <v>10320.678065261161</v>
      </c>
      <c r="AG139" s="126">
        <f t="shared" si="90"/>
        <v>8675.4258059730018</v>
      </c>
      <c r="AH139" s="126">
        <f t="shared" si="64"/>
        <v>10348.670428580292</v>
      </c>
      <c r="AI139" s="126">
        <f t="shared" si="65"/>
        <v>-1673.24462260729</v>
      </c>
      <c r="AJ139" s="126">
        <f t="shared" si="95"/>
        <v>1</v>
      </c>
      <c r="AK139" s="126">
        <f t="shared" si="91"/>
        <v>34000</v>
      </c>
      <c r="AL139" s="126">
        <f t="shared" si="92"/>
        <v>-25324.574194026998</v>
      </c>
      <c r="AM139" s="126">
        <f t="shared" si="94"/>
        <v>0</v>
      </c>
      <c r="AN139" s="126">
        <f t="shared" si="75"/>
        <v>0</v>
      </c>
      <c r="AO139" s="126">
        <f t="shared" si="93"/>
        <v>20234.33478102757</v>
      </c>
      <c r="AP139" s="126">
        <f t="shared" si="72"/>
        <v>13.093386755949631</v>
      </c>
      <c r="AQ139" s="126">
        <f t="shared" si="66"/>
        <v>52.795914338506577</v>
      </c>
      <c r="AR139" s="126">
        <f t="shared" si="73"/>
        <v>0</v>
      </c>
      <c r="AS139" s="122"/>
      <c r="AT139" s="122"/>
      <c r="AU139" s="122"/>
      <c r="AV139" s="122"/>
      <c r="AW139" s="122"/>
      <c r="AX139" s="122"/>
      <c r="AY139" s="122"/>
      <c r="AZ139" s="122"/>
      <c r="BA139" s="122"/>
      <c r="BB139" s="122"/>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c r="CB139" s="69"/>
      <c r="CC139" s="69"/>
      <c r="CD139" s="69"/>
      <c r="CE139" s="69"/>
      <c r="CF139" s="69"/>
      <c r="CG139" s="69"/>
      <c r="CH139" s="69"/>
      <c r="CI139" s="69"/>
      <c r="CJ139" s="69"/>
      <c r="CK139" s="69"/>
      <c r="CL139" s="69"/>
      <c r="CM139" s="69"/>
      <c r="CN139" s="69"/>
      <c r="CO139" s="69"/>
      <c r="CP139" s="69"/>
      <c r="CQ139" s="69"/>
      <c r="CR139" s="69"/>
      <c r="CS139" s="69"/>
      <c r="CT139" s="69"/>
      <c r="CU139" s="69"/>
      <c r="CV139" s="69"/>
      <c r="CW139" s="69"/>
    </row>
    <row r="140" spans="1:101" ht="19.5" x14ac:dyDescent="0.35">
      <c r="A140" s="122"/>
      <c r="B140" s="122"/>
      <c r="C140" s="122"/>
      <c r="D140" s="122"/>
      <c r="E140" s="122"/>
      <c r="F140" s="122"/>
      <c r="G140" s="122"/>
      <c r="H140" s="122"/>
      <c r="I140" s="122"/>
      <c r="J140" s="122"/>
      <c r="K140" s="38">
        <v>1</v>
      </c>
      <c r="L140" s="38">
        <v>55</v>
      </c>
      <c r="M140" s="112">
        <v>1.5</v>
      </c>
      <c r="N140" s="38">
        <f t="shared" si="87"/>
        <v>19.573302016050107</v>
      </c>
      <c r="O140" s="38">
        <f t="shared" si="74"/>
        <v>8.2750000000000057</v>
      </c>
      <c r="P140" s="38">
        <f t="shared" si="54"/>
        <v>18.511175000000012</v>
      </c>
      <c r="Q140" s="38">
        <f t="shared" si="68"/>
        <v>8.2750000000000057</v>
      </c>
      <c r="R140" s="93">
        <f t="shared" si="85"/>
        <v>494.17900000000031</v>
      </c>
      <c r="S140" s="103">
        <v>-1.99</v>
      </c>
      <c r="T140" s="97">
        <f t="shared" si="88"/>
        <v>-0.28734995067006697</v>
      </c>
      <c r="U140" s="93">
        <f t="shared" si="86"/>
        <v>26.566828304589716</v>
      </c>
      <c r="V140" s="93">
        <f t="shared" si="55"/>
        <v>-1.9899999999999998</v>
      </c>
      <c r="W140" s="38">
        <f t="shared" si="80"/>
        <v>1087.5</v>
      </c>
      <c r="X140" s="38">
        <f t="shared" si="81"/>
        <v>23.867726898750032</v>
      </c>
      <c r="Y140" s="38">
        <f t="shared" si="96"/>
        <v>568.98</v>
      </c>
      <c r="Z140" s="38">
        <f t="shared" si="59"/>
        <v>-246.97337603059606</v>
      </c>
      <c r="AA140" s="38">
        <f t="shared" si="60"/>
        <v>1433.3743508681539</v>
      </c>
      <c r="AB140" s="38">
        <f t="shared" si="61"/>
        <v>11861.172753433983</v>
      </c>
      <c r="AC140" s="38">
        <f t="shared" si="71"/>
        <v>135338.82724656601</v>
      </c>
      <c r="AD140" s="126">
        <f t="shared" si="62"/>
        <v>29.79000000000002</v>
      </c>
      <c r="AE140" s="126">
        <f t="shared" si="63"/>
        <v>9.4895000000000021E-2</v>
      </c>
      <c r="AF140" s="126">
        <f t="shared" si="89"/>
        <v>14375.649853849916</v>
      </c>
      <c r="AG140" s="126">
        <f t="shared" si="90"/>
        <v>11861.172753433983</v>
      </c>
      <c r="AH140" s="126">
        <f t="shared" si="64"/>
        <v>13904.877440087166</v>
      </c>
      <c r="AI140" s="126">
        <f t="shared" si="65"/>
        <v>-2043.7046866531837</v>
      </c>
      <c r="AJ140" s="126">
        <f t="shared" si="95"/>
        <v>1</v>
      </c>
      <c r="AK140" s="126">
        <f t="shared" si="91"/>
        <v>34000</v>
      </c>
      <c r="AL140" s="126">
        <f t="shared" si="92"/>
        <v>-22138.827246566019</v>
      </c>
      <c r="AM140" s="126">
        <f t="shared" si="94"/>
        <v>0</v>
      </c>
      <c r="AN140" s="126">
        <f t="shared" si="75"/>
        <v>0</v>
      </c>
      <c r="AO140" s="126">
        <f t="shared" si="93"/>
        <v>17688.92297000625</v>
      </c>
      <c r="AP140" s="126">
        <f t="shared" si="72"/>
        <v>16.041540584284007</v>
      </c>
      <c r="AQ140" s="126">
        <f t="shared" si="66"/>
        <v>64.683631388241963</v>
      </c>
      <c r="AR140" s="126">
        <f t="shared" si="73"/>
        <v>0</v>
      </c>
      <c r="AS140" s="122"/>
      <c r="AT140" s="122"/>
      <c r="AU140" s="122"/>
      <c r="AV140" s="122"/>
      <c r="AW140" s="122"/>
      <c r="AX140" s="122"/>
      <c r="AY140" s="122"/>
      <c r="AZ140" s="122"/>
      <c r="BA140" s="122"/>
      <c r="BB140" s="122"/>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c r="CB140" s="69"/>
      <c r="CC140" s="69"/>
      <c r="CD140" s="69"/>
      <c r="CE140" s="69"/>
      <c r="CF140" s="69"/>
      <c r="CG140" s="69"/>
      <c r="CH140" s="69"/>
      <c r="CI140" s="69"/>
      <c r="CJ140" s="69"/>
      <c r="CK140" s="69"/>
      <c r="CL140" s="69"/>
      <c r="CM140" s="69"/>
      <c r="CN140" s="69"/>
      <c r="CO140" s="69"/>
      <c r="CP140" s="69"/>
      <c r="CQ140" s="69"/>
      <c r="CR140" s="69"/>
      <c r="CS140" s="69"/>
      <c r="CT140" s="69"/>
      <c r="CU140" s="69"/>
      <c r="CV140" s="69"/>
      <c r="CW140" s="69"/>
    </row>
    <row r="141" spans="1:101" ht="19.5" x14ac:dyDescent="0.35">
      <c r="A141" s="122"/>
      <c r="B141" s="122"/>
      <c r="C141" s="122"/>
      <c r="D141" s="122"/>
      <c r="E141" s="122"/>
      <c r="F141" s="122"/>
      <c r="G141" s="122"/>
      <c r="H141" s="122"/>
      <c r="I141" s="122"/>
      <c r="J141" s="122"/>
      <c r="K141" s="38">
        <v>1</v>
      </c>
      <c r="L141" s="38">
        <v>56</v>
      </c>
      <c r="M141" s="112">
        <v>2.4</v>
      </c>
      <c r="N141" s="38">
        <f t="shared" si="87"/>
        <v>31.317283225680171</v>
      </c>
      <c r="O141" s="38">
        <f t="shared" si="74"/>
        <v>10.675000000000006</v>
      </c>
      <c r="P141" s="38">
        <f t="shared" si="54"/>
        <v>23.879975000000016</v>
      </c>
      <c r="Q141" s="38">
        <f t="shared" si="68"/>
        <v>10.675000000000006</v>
      </c>
      <c r="R141" s="100">
        <f t="shared" si="85"/>
        <v>504.85400000000033</v>
      </c>
      <c r="S141" s="103">
        <v>-5.51</v>
      </c>
      <c r="T141" s="97">
        <f t="shared" si="88"/>
        <v>-1.0250079540147004</v>
      </c>
      <c r="U141" s="100">
        <f t="shared" si="86"/>
        <v>25.541820350575016</v>
      </c>
      <c r="V141" s="93">
        <f t="shared" si="55"/>
        <v>-5.5100000000000007</v>
      </c>
      <c r="W141" s="38">
        <f t="shared" si="80"/>
        <v>1740</v>
      </c>
      <c r="X141" s="38">
        <f t="shared" si="81"/>
        <v>39.720144738750044</v>
      </c>
      <c r="Y141" s="38">
        <f t="shared" si="96"/>
        <v>568.98</v>
      </c>
      <c r="Z141" s="38">
        <f t="shared" si="59"/>
        <v>-682.91454997105848</v>
      </c>
      <c r="AA141" s="38">
        <f t="shared" si="60"/>
        <v>1665.7855947676917</v>
      </c>
      <c r="AB141" s="38">
        <f t="shared" si="61"/>
        <v>17782.261224145121</v>
      </c>
      <c r="AC141" s="38">
        <f t="shared" si="71"/>
        <v>129417.73877585487</v>
      </c>
      <c r="AD141" s="126">
        <f t="shared" si="62"/>
        <v>38.430000000000021</v>
      </c>
      <c r="AE141" s="126">
        <f t="shared" si="63"/>
        <v>9.9215000000000025E-2</v>
      </c>
      <c r="AF141" s="126">
        <f t="shared" si="89"/>
        <v>22994.961437941751</v>
      </c>
      <c r="AG141" s="126">
        <f t="shared" si="90"/>
        <v>17782.261224145121</v>
      </c>
      <c r="AH141" s="126">
        <f t="shared" si="64"/>
        <v>25072.374045086173</v>
      </c>
      <c r="AI141" s="126">
        <f t="shared" si="65"/>
        <v>-7290.1128209410535</v>
      </c>
      <c r="AJ141" s="126">
        <f t="shared" si="95"/>
        <v>1</v>
      </c>
      <c r="AK141" s="126">
        <f t="shared" si="91"/>
        <v>34000</v>
      </c>
      <c r="AL141" s="126">
        <f t="shared" si="92"/>
        <v>-16217.738775854879</v>
      </c>
      <c r="AM141" s="126">
        <f t="shared" si="94"/>
        <v>0</v>
      </c>
      <c r="AN141" s="126">
        <f t="shared" si="75"/>
        <v>0</v>
      </c>
      <c r="AO141" s="126">
        <f t="shared" si="93"/>
        <v>12957.973281908047</v>
      </c>
      <c r="AP141" s="126">
        <f t="shared" si="72"/>
        <v>18.201202797935348</v>
      </c>
      <c r="AQ141" s="126">
        <f t="shared" si="66"/>
        <v>73.39194676586834</v>
      </c>
      <c r="AR141" s="126">
        <f t="shared" si="73"/>
        <v>0</v>
      </c>
      <c r="AS141" s="122"/>
      <c r="AT141" s="122"/>
      <c r="AU141" s="122"/>
      <c r="AV141" s="122"/>
      <c r="AW141" s="122"/>
      <c r="AX141" s="122"/>
      <c r="AY141" s="122"/>
      <c r="AZ141" s="122"/>
      <c r="BA141" s="122"/>
      <c r="BB141" s="122"/>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c r="CB141" s="69"/>
      <c r="CC141" s="69"/>
      <c r="CD141" s="69"/>
      <c r="CE141" s="69"/>
      <c r="CF141" s="69"/>
      <c r="CG141" s="69"/>
      <c r="CH141" s="69"/>
      <c r="CI141" s="69"/>
      <c r="CJ141" s="69"/>
      <c r="CK141" s="69"/>
      <c r="CL141" s="69"/>
      <c r="CM141" s="69"/>
      <c r="CN141" s="69"/>
      <c r="CO141" s="69"/>
      <c r="CP141" s="69"/>
      <c r="CQ141" s="69"/>
      <c r="CR141" s="69"/>
      <c r="CS141" s="69"/>
      <c r="CT141" s="69"/>
      <c r="CU141" s="69"/>
      <c r="CV141" s="69"/>
      <c r="CW141" s="69"/>
    </row>
    <row r="142" spans="1:101" ht="19.5" x14ac:dyDescent="0.35">
      <c r="A142" s="122"/>
      <c r="B142" s="122"/>
      <c r="C142" s="122"/>
      <c r="D142" s="122"/>
      <c r="E142" s="122"/>
      <c r="F142" s="122"/>
      <c r="G142" s="122"/>
      <c r="H142" s="122"/>
      <c r="I142" s="122"/>
      <c r="J142" s="122"/>
      <c r="K142" s="38">
        <v>1</v>
      </c>
      <c r="L142" s="38">
        <v>57</v>
      </c>
      <c r="M142" s="111">
        <v>3</v>
      </c>
      <c r="N142" s="38">
        <f t="shared" si="87"/>
        <v>39.146604032100214</v>
      </c>
      <c r="O142" s="38">
        <f t="shared" si="74"/>
        <v>13.675000000000006</v>
      </c>
      <c r="P142" s="38">
        <f t="shared" si="54"/>
        <v>30.590975000000014</v>
      </c>
      <c r="Q142" s="38">
        <f t="shared" si="68"/>
        <v>13.675000000000006</v>
      </c>
      <c r="R142" s="93">
        <f t="shared" si="85"/>
        <v>518.52900000000034</v>
      </c>
      <c r="S142" s="103">
        <v>-5.51</v>
      </c>
      <c r="T142" s="97">
        <f t="shared" si="88"/>
        <v>-1.3130663954239836</v>
      </c>
      <c r="U142" s="93">
        <f t="shared" si="86"/>
        <v>24.228753955151031</v>
      </c>
      <c r="V142" s="93">
        <f t="shared" si="55"/>
        <v>-5.51</v>
      </c>
      <c r="W142" s="38">
        <f t="shared" si="80"/>
        <v>2175</v>
      </c>
      <c r="X142" s="38">
        <f t="shared" si="81"/>
        <v>65.182306638750049</v>
      </c>
      <c r="Y142" s="38">
        <f t="shared" si="96"/>
        <v>568.98</v>
      </c>
      <c r="Z142" s="38">
        <f t="shared" si="59"/>
        <v>-682.91454997105836</v>
      </c>
      <c r="AA142" s="38">
        <f t="shared" si="60"/>
        <v>2126.2477566676916</v>
      </c>
      <c r="AB142" s="38">
        <f t="shared" si="61"/>
        <v>29076.438072430698</v>
      </c>
      <c r="AC142" s="38">
        <f t="shared" si="71"/>
        <v>118123.5619275693</v>
      </c>
      <c r="AD142" s="126">
        <f t="shared" si="62"/>
        <v>49.230000000000025</v>
      </c>
      <c r="AE142" s="126">
        <f t="shared" si="63"/>
        <v>0.10461500000000001</v>
      </c>
      <c r="AF142" s="126">
        <f t="shared" si="89"/>
        <v>38349.241448689252</v>
      </c>
      <c r="AG142" s="126">
        <f t="shared" si="90"/>
        <v>29076.438072430698</v>
      </c>
      <c r="AH142" s="126">
        <f t="shared" si="64"/>
        <v>38415.294543284923</v>
      </c>
      <c r="AI142" s="126">
        <f t="shared" si="65"/>
        <v>-9338.8564708542272</v>
      </c>
      <c r="AJ142" s="126">
        <f t="shared" si="95"/>
        <v>1</v>
      </c>
      <c r="AK142" s="126">
        <f t="shared" si="91"/>
        <v>34000</v>
      </c>
      <c r="AL142" s="126">
        <f t="shared" si="92"/>
        <v>-4923.5619275693025</v>
      </c>
      <c r="AM142" s="126">
        <f t="shared" si="94"/>
        <v>0</v>
      </c>
      <c r="AN142" s="126">
        <f t="shared" si="75"/>
        <v>0</v>
      </c>
      <c r="AO142" s="126">
        <f t="shared" si="93"/>
        <v>3933.9259801278722</v>
      </c>
      <c r="AP142" s="126">
        <f t="shared" si="72"/>
        <v>18.856857127956662</v>
      </c>
      <c r="AQ142" s="126">
        <f t="shared" si="66"/>
        <v>76.035714225631708</v>
      </c>
      <c r="AR142" s="126">
        <f t="shared" si="73"/>
        <v>0</v>
      </c>
      <c r="AS142" s="122"/>
      <c r="AT142" s="122"/>
      <c r="AU142" s="122"/>
      <c r="AV142" s="122"/>
      <c r="AW142" s="122"/>
      <c r="AX142" s="122"/>
      <c r="AY142" s="122"/>
      <c r="AZ142" s="122"/>
      <c r="BA142" s="122"/>
      <c r="BB142" s="122"/>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c r="CB142" s="69"/>
      <c r="CC142" s="69"/>
      <c r="CD142" s="69"/>
      <c r="CE142" s="69"/>
      <c r="CF142" s="69"/>
      <c r="CG142" s="69"/>
      <c r="CH142" s="69"/>
      <c r="CI142" s="69"/>
      <c r="CJ142" s="69"/>
      <c r="CK142" s="69"/>
      <c r="CL142" s="69"/>
      <c r="CM142" s="69"/>
      <c r="CN142" s="69"/>
      <c r="CO142" s="69"/>
      <c r="CP142" s="69"/>
      <c r="CQ142" s="69"/>
      <c r="CR142" s="69"/>
      <c r="CS142" s="69"/>
      <c r="CT142" s="69"/>
      <c r="CU142" s="69"/>
      <c r="CV142" s="69"/>
      <c r="CW142" s="69"/>
    </row>
    <row r="143" spans="1:101" ht="19.5" x14ac:dyDescent="0.35">
      <c r="A143" s="122"/>
      <c r="B143" s="122"/>
      <c r="C143" s="122"/>
      <c r="D143" s="122"/>
      <c r="E143" s="122"/>
      <c r="F143" s="122"/>
      <c r="G143" s="122"/>
      <c r="H143" s="122"/>
      <c r="I143" s="122"/>
      <c r="J143" s="122"/>
      <c r="K143" s="38">
        <v>1</v>
      </c>
      <c r="L143" s="38">
        <v>58</v>
      </c>
      <c r="M143" s="111">
        <v>3.4</v>
      </c>
      <c r="N143" s="38">
        <f t="shared" si="87"/>
        <v>44.36615123638024</v>
      </c>
      <c r="O143" s="38">
        <f t="shared" si="74"/>
        <v>17.075000000000006</v>
      </c>
      <c r="P143" s="38">
        <f t="shared" si="54"/>
        <v>38.196775000000017</v>
      </c>
      <c r="Q143" s="38">
        <f t="shared" si="68"/>
        <v>17.075000000000006</v>
      </c>
      <c r="R143" s="93">
        <f t="shared" si="85"/>
        <v>535.60400000000038</v>
      </c>
      <c r="S143" s="103">
        <v>-5.51</v>
      </c>
      <c r="T143" s="97">
        <f t="shared" si="88"/>
        <v>-1.6395326290211714</v>
      </c>
      <c r="U143" s="93">
        <f t="shared" si="86"/>
        <v>22.589221326129859</v>
      </c>
      <c r="V143" s="93">
        <f t="shared" si="55"/>
        <v>-5.51</v>
      </c>
      <c r="W143" s="38">
        <f t="shared" si="80"/>
        <v>2465</v>
      </c>
      <c r="X143" s="38">
        <f t="shared" si="81"/>
        <v>101.62404553875007</v>
      </c>
      <c r="Y143" s="38">
        <f t="shared" si="96"/>
        <v>568.98</v>
      </c>
      <c r="Z143" s="38">
        <f t="shared" si="59"/>
        <v>-682.91454997105836</v>
      </c>
      <c r="AA143" s="38">
        <f t="shared" si="60"/>
        <v>2452.6894955676917</v>
      </c>
      <c r="AB143" s="38">
        <f t="shared" si="61"/>
        <v>41879.673136818354</v>
      </c>
      <c r="AC143" s="38">
        <f t="shared" si="71"/>
        <v>105320.32686318165</v>
      </c>
      <c r="AD143" s="126">
        <f t="shared" si="62"/>
        <v>61.470000000000027</v>
      </c>
      <c r="AE143" s="126">
        <f t="shared" si="63"/>
        <v>0.11073500000000001</v>
      </c>
      <c r="AF143" s="126">
        <f t="shared" si="89"/>
        <v>63429.637357717074</v>
      </c>
      <c r="AG143" s="126">
        <f t="shared" si="90"/>
        <v>41879.673136818354</v>
      </c>
      <c r="AH143" s="126">
        <f t="shared" si="64"/>
        <v>53540.439077574178</v>
      </c>
      <c r="AI143" s="126">
        <f t="shared" si="65"/>
        <v>-11660.765940755826</v>
      </c>
      <c r="AJ143" s="126">
        <f t="shared" si="95"/>
        <v>1</v>
      </c>
      <c r="AK143" s="126">
        <f t="shared" si="91"/>
        <v>34000</v>
      </c>
      <c r="AL143" s="126">
        <f t="shared" si="92"/>
        <v>7879.6731368183537</v>
      </c>
      <c r="AM143" s="126">
        <f t="shared" si="94"/>
        <v>9861.918819547378</v>
      </c>
      <c r="AN143" s="126">
        <f t="shared" si="75"/>
        <v>7879.6731368183537</v>
      </c>
      <c r="AO143" s="126">
        <f t="shared" si="93"/>
        <v>0</v>
      </c>
      <c r="AP143" s="126">
        <f t="shared" si="72"/>
        <v>17.213203991365432</v>
      </c>
      <c r="AQ143" s="126">
        <f t="shared" si="66"/>
        <v>69.408080610344484</v>
      </c>
      <c r="AR143" s="126">
        <f t="shared" si="73"/>
        <v>0</v>
      </c>
      <c r="AS143" s="122"/>
      <c r="AT143" s="122"/>
      <c r="AU143" s="122"/>
      <c r="AV143" s="122"/>
      <c r="AW143" s="122"/>
      <c r="AX143" s="122"/>
      <c r="AY143" s="122"/>
      <c r="AZ143" s="122"/>
      <c r="BA143" s="122"/>
      <c r="BB143" s="122"/>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c r="CB143" s="69"/>
      <c r="CC143" s="69"/>
      <c r="CD143" s="69"/>
      <c r="CE143" s="69"/>
      <c r="CF143" s="69"/>
      <c r="CG143" s="69"/>
      <c r="CH143" s="69"/>
      <c r="CI143" s="69"/>
      <c r="CJ143" s="69"/>
      <c r="CK143" s="69"/>
      <c r="CL143" s="69"/>
      <c r="CM143" s="69"/>
      <c r="CN143" s="69"/>
      <c r="CO143" s="69"/>
      <c r="CP143" s="69"/>
      <c r="CQ143" s="69"/>
      <c r="CR143" s="69"/>
      <c r="CS143" s="69"/>
      <c r="CT143" s="69"/>
      <c r="CU143" s="69"/>
      <c r="CV143" s="69"/>
      <c r="CW143" s="69"/>
    </row>
    <row r="144" spans="1:101" ht="19.5" x14ac:dyDescent="0.35">
      <c r="A144" s="122"/>
      <c r="B144" s="122"/>
      <c r="C144" s="122"/>
      <c r="D144" s="122"/>
      <c r="E144" s="122"/>
      <c r="F144" s="122"/>
      <c r="G144" s="122"/>
      <c r="H144" s="122"/>
      <c r="I144" s="122"/>
      <c r="J144" s="122"/>
      <c r="K144" s="38">
        <v>1</v>
      </c>
      <c r="L144" s="38">
        <v>59</v>
      </c>
      <c r="M144" s="111">
        <v>3.6</v>
      </c>
      <c r="N144" s="38">
        <f t="shared" si="87"/>
        <v>46.975924838520264</v>
      </c>
      <c r="O144" s="38">
        <f t="shared" si="74"/>
        <v>20.675000000000008</v>
      </c>
      <c r="P144" s="38">
        <f t="shared" si="54"/>
        <v>46.24997500000002</v>
      </c>
      <c r="Q144" s="38">
        <f t="shared" si="68"/>
        <v>20.675000000000008</v>
      </c>
      <c r="R144" s="100">
        <f t="shared" si="85"/>
        <v>556.27900000000034</v>
      </c>
      <c r="S144" s="103">
        <v>-7.61</v>
      </c>
      <c r="T144" s="97">
        <f t="shared" si="88"/>
        <v>-2.7379775966851332</v>
      </c>
      <c r="U144" s="100">
        <f>U142+T144</f>
        <v>21.490776358465897</v>
      </c>
      <c r="V144" s="93">
        <f t="shared" si="55"/>
        <v>-7.6099999999999985</v>
      </c>
      <c r="W144" s="38">
        <f t="shared" si="80"/>
        <v>2610</v>
      </c>
      <c r="X144" s="38">
        <f t="shared" si="81"/>
        <v>148.99307773875012</v>
      </c>
      <c r="Y144" s="38">
        <f t="shared" si="96"/>
        <v>568.98</v>
      </c>
      <c r="Z144" s="38">
        <f t="shared" si="59"/>
        <v>-941.87091472908469</v>
      </c>
      <c r="AA144" s="38">
        <f t="shared" si="60"/>
        <v>2386.1021630096657</v>
      </c>
      <c r="AB144" s="38">
        <f t="shared" si="61"/>
        <v>49332.662220224855</v>
      </c>
      <c r="AC144" s="38">
        <f t="shared" si="71"/>
        <v>97867.337779775145</v>
      </c>
      <c r="AD144" s="126">
        <f t="shared" si="62"/>
        <v>74.430000000000035</v>
      </c>
      <c r="AE144" s="126">
        <f t="shared" si="63"/>
        <v>0.11721500000000003</v>
      </c>
      <c r="AF144" s="126">
        <f t="shared" si="89"/>
        <v>100887.43763986931</v>
      </c>
      <c r="AG144" s="126">
        <f t="shared" si="90"/>
        <v>49332.662220224855</v>
      </c>
      <c r="AH144" s="126">
        <f t="shared" si="64"/>
        <v>68805.843382248684</v>
      </c>
      <c r="AI144" s="126">
        <f t="shared" si="65"/>
        <v>-19473.181162023833</v>
      </c>
      <c r="AJ144" s="126">
        <f t="shared" si="95"/>
        <v>1</v>
      </c>
      <c r="AK144" s="126">
        <f t="shared" si="91"/>
        <v>34000</v>
      </c>
      <c r="AL144" s="126">
        <f t="shared" si="92"/>
        <v>15332.662220224855</v>
      </c>
      <c r="AM144" s="126">
        <f t="shared" si="94"/>
        <v>19189.815044086179</v>
      </c>
      <c r="AN144" s="126">
        <f t="shared" si="75"/>
        <v>15332.662220224855</v>
      </c>
      <c r="AO144" s="126">
        <f t="shared" si="93"/>
        <v>0</v>
      </c>
      <c r="AP144" s="126">
        <f t="shared" si="72"/>
        <v>14.014901484017736</v>
      </c>
      <c r="AQ144" s="126">
        <f t="shared" si="66"/>
        <v>56.511699532329587</v>
      </c>
      <c r="AR144" s="126">
        <f t="shared" si="73"/>
        <v>0</v>
      </c>
      <c r="AS144" s="122"/>
      <c r="AT144" s="122"/>
      <c r="AU144" s="122"/>
      <c r="AV144" s="122"/>
      <c r="AW144" s="122"/>
      <c r="AX144" s="122"/>
      <c r="AY144" s="122"/>
      <c r="AZ144" s="122"/>
      <c r="BA144" s="122"/>
      <c r="BB144" s="122"/>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c r="CB144" s="69"/>
      <c r="CC144" s="69"/>
      <c r="CD144" s="69"/>
      <c r="CE144" s="69"/>
      <c r="CF144" s="69"/>
      <c r="CG144" s="69"/>
      <c r="CH144" s="69"/>
      <c r="CI144" s="69"/>
      <c r="CJ144" s="69"/>
      <c r="CK144" s="69"/>
      <c r="CL144" s="69"/>
      <c r="CM144" s="69"/>
      <c r="CN144" s="69"/>
      <c r="CO144" s="69"/>
      <c r="CP144" s="69"/>
      <c r="CQ144" s="69"/>
      <c r="CR144" s="69"/>
      <c r="CS144" s="69"/>
      <c r="CT144" s="69"/>
      <c r="CU144" s="69"/>
      <c r="CV144" s="69"/>
      <c r="CW144" s="69"/>
    </row>
    <row r="145" spans="1:101" ht="19.5" x14ac:dyDescent="0.35">
      <c r="A145" s="122"/>
      <c r="B145" s="122"/>
      <c r="C145" s="122"/>
      <c r="D145" s="122"/>
      <c r="E145" s="122"/>
      <c r="F145" s="122"/>
      <c r="G145" s="122"/>
      <c r="H145" s="122"/>
      <c r="I145" s="122"/>
      <c r="J145" s="122"/>
      <c r="K145" s="38">
        <v>1</v>
      </c>
      <c r="L145" s="114">
        <v>60</v>
      </c>
      <c r="M145" s="103">
        <v>0</v>
      </c>
      <c r="N145" s="38">
        <f t="shared" si="87"/>
        <v>0</v>
      </c>
      <c r="O145" s="38">
        <f t="shared" si="74"/>
        <v>20.675000000000008</v>
      </c>
      <c r="P145" s="38">
        <f t="shared" si="54"/>
        <v>46.24997500000002</v>
      </c>
      <c r="Q145" s="38">
        <f t="shared" si="68"/>
        <v>20.675000000000008</v>
      </c>
      <c r="R145" s="100">
        <f t="shared" si="85"/>
        <v>576.95400000000029</v>
      </c>
      <c r="S145" s="103">
        <v>-8.0500000000000007</v>
      </c>
      <c r="T145" s="97">
        <f t="shared" si="88"/>
        <v>-2.8952695187662814</v>
      </c>
      <c r="U145" s="100">
        <f t="shared" ref="U145:U155" si="97">U144+T145</f>
        <v>18.595506839699617</v>
      </c>
      <c r="V145" s="93">
        <f t="shared" si="55"/>
        <v>-8.0500000000000007</v>
      </c>
      <c r="W145" s="38">
        <f t="shared" si="80"/>
        <v>0</v>
      </c>
      <c r="X145" s="38">
        <f t="shared" si="81"/>
        <v>148.99307773875012</v>
      </c>
      <c r="Y145" s="38">
        <v>0</v>
      </c>
      <c r="Z145" s="38">
        <f t="shared" si="59"/>
        <v>-995.97971631658891</v>
      </c>
      <c r="AA145" s="38">
        <f t="shared" si="60"/>
        <v>-846.98663857783879</v>
      </c>
      <c r="AB145" s="38">
        <f t="shared" si="61"/>
        <v>-17511.448752596825</v>
      </c>
      <c r="AC145" s="38">
        <f t="shared" si="71"/>
        <v>164711.44875259683</v>
      </c>
      <c r="AD145" s="126">
        <f t="shared" si="62"/>
        <v>74.430000000000035</v>
      </c>
      <c r="AE145" s="126">
        <f t="shared" si="63"/>
        <v>0.11721500000000003</v>
      </c>
      <c r="AF145" s="126">
        <f t="shared" si="89"/>
        <v>100887.43763986931</v>
      </c>
      <c r="AG145" s="126">
        <f t="shared" si="90"/>
        <v>0</v>
      </c>
      <c r="AH145" s="126">
        <f t="shared" si="64"/>
        <v>3080.4318822486598</v>
      </c>
      <c r="AI145" s="126">
        <f t="shared" si="65"/>
        <v>-20591.880634845482</v>
      </c>
      <c r="AJ145" s="126">
        <f t="shared" si="95"/>
        <v>0</v>
      </c>
      <c r="AK145" s="126">
        <f t="shared" si="91"/>
        <v>0</v>
      </c>
      <c r="AL145" s="126">
        <f t="shared" si="92"/>
        <v>-17511.448752596825</v>
      </c>
      <c r="AM145" s="126">
        <f t="shared" si="94"/>
        <v>0</v>
      </c>
      <c r="AN145" s="126">
        <f t="shared" si="75"/>
        <v>0</v>
      </c>
      <c r="AO145" s="126">
        <f t="shared" si="93"/>
        <v>13991.647553324861</v>
      </c>
      <c r="AP145" s="126">
        <f t="shared" si="72"/>
        <v>16.346842742905213</v>
      </c>
      <c r="AQ145" s="126">
        <f t="shared" si="66"/>
        <v>65.914688479456501</v>
      </c>
      <c r="AR145" s="126">
        <f t="shared" si="73"/>
        <v>0</v>
      </c>
      <c r="AS145" s="122"/>
      <c r="AT145" s="122"/>
      <c r="AU145" s="122"/>
      <c r="AV145" s="122"/>
      <c r="AW145" s="122"/>
      <c r="AX145" s="122"/>
      <c r="AY145" s="122"/>
      <c r="AZ145" s="122"/>
      <c r="BA145" s="122"/>
      <c r="BB145" s="122"/>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c r="CB145" s="69"/>
      <c r="CC145" s="69"/>
      <c r="CD145" s="69"/>
      <c r="CE145" s="69"/>
      <c r="CF145" s="69"/>
      <c r="CG145" s="69"/>
      <c r="CH145" s="69"/>
      <c r="CI145" s="69"/>
      <c r="CJ145" s="69"/>
      <c r="CK145" s="69"/>
      <c r="CL145" s="69"/>
      <c r="CM145" s="69"/>
      <c r="CN145" s="69"/>
      <c r="CO145" s="69"/>
      <c r="CP145" s="69"/>
      <c r="CQ145" s="69"/>
      <c r="CR145" s="69"/>
      <c r="CS145" s="69"/>
      <c r="CT145" s="69"/>
      <c r="CU145" s="69"/>
      <c r="CV145" s="69"/>
      <c r="CW145" s="69"/>
    </row>
    <row r="146" spans="1:101" ht="19.5" x14ac:dyDescent="0.35">
      <c r="A146" s="122"/>
      <c r="B146" s="122"/>
      <c r="C146" s="122"/>
      <c r="D146" s="122"/>
      <c r="E146" s="122"/>
      <c r="F146" s="122"/>
      <c r="G146" s="122"/>
      <c r="H146" s="122"/>
      <c r="I146" s="122"/>
      <c r="J146" s="122"/>
      <c r="K146" s="38">
        <v>1</v>
      </c>
      <c r="L146" s="38">
        <v>61</v>
      </c>
      <c r="M146" s="111">
        <v>0</v>
      </c>
      <c r="N146" s="38">
        <f>(M146/9.81)*100</f>
        <v>0</v>
      </c>
      <c r="O146" s="38">
        <f t="shared" si="74"/>
        <v>20.675000000000008</v>
      </c>
      <c r="P146" s="38">
        <f t="shared" si="54"/>
        <v>46.24997500000002</v>
      </c>
      <c r="Q146" s="38">
        <f t="shared" si="68"/>
        <v>20.675000000000008</v>
      </c>
      <c r="R146" s="100">
        <f t="shared" si="85"/>
        <v>597.62900000000025</v>
      </c>
      <c r="S146" s="103">
        <v>-8.0500000000000007</v>
      </c>
      <c r="T146" s="97">
        <f t="shared" si="88"/>
        <v>-2.8952695187662814</v>
      </c>
      <c r="U146" s="100">
        <f t="shared" si="97"/>
        <v>15.700237320933336</v>
      </c>
      <c r="V146" s="93">
        <f t="shared" si="55"/>
        <v>-8.0500000000000007</v>
      </c>
      <c r="W146" s="38">
        <f t="shared" si="80"/>
        <v>0</v>
      </c>
      <c r="X146" s="38">
        <f t="shared" si="81"/>
        <v>148.99307773875012</v>
      </c>
      <c r="Y146" s="38">
        <f>$E$6*$B$5*$B$4</f>
        <v>568.98</v>
      </c>
      <c r="Z146" s="38">
        <f t="shared" si="59"/>
        <v>-995.97971631658891</v>
      </c>
      <c r="AA146" s="38">
        <f t="shared" si="60"/>
        <v>-278.00663857783877</v>
      </c>
      <c r="AB146" s="38">
        <f t="shared" si="61"/>
        <v>-5747.7872525968187</v>
      </c>
      <c r="AC146" s="38">
        <f t="shared" si="71"/>
        <v>152947.78725259681</v>
      </c>
      <c r="AD146" s="126">
        <f t="shared" si="62"/>
        <v>74.430000000000035</v>
      </c>
      <c r="AE146" s="126">
        <f t="shared" si="63"/>
        <v>0.11721500000000003</v>
      </c>
      <c r="AF146" s="126">
        <f t="shared" si="89"/>
        <v>100887.43763986931</v>
      </c>
      <c r="AG146" s="126">
        <f t="shared" si="90"/>
        <v>0</v>
      </c>
      <c r="AH146" s="126">
        <f t="shared" si="64"/>
        <v>14844.093382248664</v>
      </c>
      <c r="AI146" s="126">
        <f t="shared" si="65"/>
        <v>-20591.880634845482</v>
      </c>
      <c r="AJ146" s="126">
        <f t="shared" si="95"/>
        <v>0</v>
      </c>
      <c r="AK146" s="126">
        <f t="shared" si="91"/>
        <v>0</v>
      </c>
      <c r="AL146" s="126">
        <f t="shared" si="92"/>
        <v>-5747.7872525968187</v>
      </c>
      <c r="AM146" s="126">
        <f t="shared" si="94"/>
        <v>0</v>
      </c>
      <c r="AN146" s="126">
        <f t="shared" si="75"/>
        <v>0</v>
      </c>
      <c r="AO146" s="126">
        <f t="shared" si="93"/>
        <v>4592.4820148248582</v>
      </c>
      <c r="AP146" s="126">
        <f t="shared" si="72"/>
        <v>17.11225641204269</v>
      </c>
      <c r="AQ146" s="126">
        <f t="shared" si="66"/>
        <v>69.001033919526975</v>
      </c>
      <c r="AR146" s="126">
        <f t="shared" si="73"/>
        <v>0</v>
      </c>
      <c r="AS146" s="122"/>
      <c r="AT146" s="122"/>
      <c r="AU146" s="122"/>
      <c r="AV146" s="122"/>
      <c r="AW146" s="122"/>
      <c r="AX146" s="122"/>
      <c r="AY146" s="122"/>
      <c r="AZ146" s="122"/>
      <c r="BA146" s="122"/>
      <c r="BB146" s="122"/>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c r="CB146" s="69"/>
      <c r="CC146" s="69"/>
      <c r="CD146" s="69"/>
      <c r="CE146" s="69"/>
      <c r="CF146" s="69"/>
      <c r="CG146" s="69"/>
      <c r="CH146" s="69"/>
      <c r="CI146" s="69"/>
      <c r="CJ146" s="69"/>
      <c r="CK146" s="69"/>
      <c r="CL146" s="69"/>
      <c r="CM146" s="69"/>
      <c r="CN146" s="69"/>
      <c r="CO146" s="69"/>
      <c r="CP146" s="69"/>
      <c r="CQ146" s="69"/>
      <c r="CR146" s="69"/>
      <c r="CS146" s="69"/>
      <c r="CT146" s="69"/>
      <c r="CU146" s="69"/>
      <c r="CV146" s="69"/>
      <c r="CW146" s="69"/>
    </row>
    <row r="147" spans="1:101" ht="19.5" x14ac:dyDescent="0.35">
      <c r="A147" s="122"/>
      <c r="B147" s="122"/>
      <c r="C147" s="122"/>
      <c r="D147" s="122"/>
      <c r="E147" s="122"/>
      <c r="F147" s="122"/>
      <c r="G147" s="122"/>
      <c r="H147" s="122"/>
      <c r="I147" s="122"/>
      <c r="J147" s="122"/>
      <c r="K147" s="38">
        <v>1</v>
      </c>
      <c r="L147" s="38">
        <v>62</v>
      </c>
      <c r="M147" s="103">
        <v>-3.5</v>
      </c>
      <c r="N147" s="38">
        <f t="shared" ref="N147:N155" si="98">(M147/7.6635)*100</f>
        <v>-45.671038037450252</v>
      </c>
      <c r="O147" s="38">
        <f t="shared" si="74"/>
        <v>17.175000000000008</v>
      </c>
      <c r="P147" s="38">
        <f t="shared" si="54"/>
        <v>38.420475000000017</v>
      </c>
      <c r="Q147" s="38">
        <f t="shared" si="68"/>
        <v>17.175000000000008</v>
      </c>
      <c r="R147" s="93">
        <f t="shared" si="85"/>
        <v>614.8040000000002</v>
      </c>
      <c r="S147" s="103">
        <v>-8.0500000000000007</v>
      </c>
      <c r="T147" s="97">
        <f t="shared" si="88"/>
        <v>-2.4051392495676365</v>
      </c>
      <c r="U147" s="93">
        <f t="shared" si="97"/>
        <v>13.2950980713657</v>
      </c>
      <c r="V147" s="93">
        <f t="shared" si="55"/>
        <v>-8.0500000000000007</v>
      </c>
      <c r="W147" s="38">
        <f t="shared" si="80"/>
        <v>-2537.5</v>
      </c>
      <c r="X147" s="38">
        <f t="shared" si="81"/>
        <v>102.81785668875008</v>
      </c>
      <c r="Y147" s="38">
        <f t="shared" ref="Y147:Y155" si="99">$E$6*$B$5*$B$4</f>
        <v>568.98</v>
      </c>
      <c r="Z147" s="38">
        <f t="shared" si="59"/>
        <v>-995.97971631658891</v>
      </c>
      <c r="AA147" s="38">
        <f t="shared" si="60"/>
        <v>-2861.681859627839</v>
      </c>
      <c r="AB147" s="38">
        <f t="shared" si="61"/>
        <v>-49149.385939108157</v>
      </c>
      <c r="AC147" s="38">
        <f t="shared" si="71"/>
        <v>196349.38593910815</v>
      </c>
      <c r="AD147" s="126">
        <f t="shared" si="62"/>
        <v>61.830000000000027</v>
      </c>
      <c r="AE147" s="126">
        <f t="shared" si="63"/>
        <v>0.11091500000000001</v>
      </c>
      <c r="AF147" s="126">
        <f t="shared" si="89"/>
        <v>64308.946660256996</v>
      </c>
      <c r="AG147" s="126">
        <f t="shared" si="90"/>
        <v>0</v>
      </c>
      <c r="AH147" s="126">
        <f t="shared" si="64"/>
        <v>11538.128188629289</v>
      </c>
      <c r="AI147" s="126">
        <f t="shared" si="65"/>
        <v>-60687.514127737442</v>
      </c>
      <c r="AJ147" s="126">
        <f t="shared" si="95"/>
        <v>0</v>
      </c>
      <c r="AK147" s="126">
        <f t="shared" si="91"/>
        <v>0</v>
      </c>
      <c r="AL147" s="126">
        <f t="shared" si="92"/>
        <v>-49149.385939108157</v>
      </c>
      <c r="AM147" s="126">
        <f t="shared" si="94"/>
        <v>0</v>
      </c>
      <c r="AN147" s="126">
        <f t="shared" si="75"/>
        <v>0</v>
      </c>
      <c r="AO147" s="126">
        <f t="shared" si="93"/>
        <v>39270.359365347416</v>
      </c>
      <c r="AP147" s="126">
        <f t="shared" si="72"/>
        <v>23.657316306267258</v>
      </c>
      <c r="AQ147" s="126">
        <f t="shared" si="66"/>
        <v>95.392404460755074</v>
      </c>
      <c r="AR147" s="126">
        <f t="shared" si="73"/>
        <v>0</v>
      </c>
      <c r="AS147" s="122"/>
      <c r="AT147" s="122"/>
      <c r="AU147" s="122"/>
      <c r="AV147" s="122"/>
      <c r="AW147" s="122"/>
      <c r="AX147" s="122"/>
      <c r="AY147" s="122"/>
      <c r="AZ147" s="122"/>
      <c r="BA147" s="122"/>
      <c r="BB147" s="122"/>
      <c r="BC147" s="69"/>
      <c r="BD147" s="69"/>
      <c r="BE147" s="69"/>
      <c r="BF147" s="69"/>
      <c r="BG147" s="69"/>
      <c r="BH147" s="69"/>
      <c r="BI147" s="69"/>
      <c r="BJ147" s="69"/>
      <c r="BK147" s="69"/>
      <c r="BL147" s="69"/>
      <c r="BM147" s="69"/>
      <c r="BN147" s="69"/>
      <c r="BO147" s="69"/>
      <c r="BP147" s="69"/>
      <c r="BQ147" s="69"/>
      <c r="BR147" s="69"/>
      <c r="BS147" s="69"/>
      <c r="BT147" s="69"/>
      <c r="BU147" s="69"/>
      <c r="BV147" s="69"/>
      <c r="BW147" s="69"/>
      <c r="BX147" s="69"/>
      <c r="BY147" s="69"/>
      <c r="BZ147" s="69"/>
      <c r="CA147" s="69"/>
      <c r="CB147" s="69"/>
      <c r="CC147" s="69"/>
      <c r="CD147" s="69"/>
      <c r="CE147" s="69"/>
      <c r="CF147" s="69"/>
      <c r="CG147" s="69"/>
      <c r="CH147" s="69"/>
      <c r="CI147" s="69"/>
      <c r="CJ147" s="69"/>
      <c r="CK147" s="69"/>
      <c r="CL147" s="69"/>
      <c r="CM147" s="69"/>
      <c r="CN147" s="69"/>
      <c r="CO147" s="69"/>
      <c r="CP147" s="69"/>
      <c r="CQ147" s="69"/>
      <c r="CR147" s="69"/>
      <c r="CS147" s="69"/>
      <c r="CT147" s="69"/>
      <c r="CU147" s="69"/>
      <c r="CV147" s="69"/>
      <c r="CW147" s="69"/>
    </row>
    <row r="148" spans="1:101" ht="19.5" x14ac:dyDescent="0.35">
      <c r="A148" s="122"/>
      <c r="B148" s="122"/>
      <c r="C148" s="122"/>
      <c r="D148" s="122"/>
      <c r="E148" s="122"/>
      <c r="F148" s="122"/>
      <c r="G148" s="122"/>
      <c r="H148" s="122"/>
      <c r="I148" s="122"/>
      <c r="J148" s="122"/>
      <c r="K148" s="38">
        <v>1</v>
      </c>
      <c r="L148" s="38">
        <v>63</v>
      </c>
      <c r="M148" s="103">
        <v>-3.5</v>
      </c>
      <c r="N148" s="38">
        <f t="shared" si="98"/>
        <v>-45.671038037450252</v>
      </c>
      <c r="O148" s="38">
        <f t="shared" si="74"/>
        <v>13.675000000000008</v>
      </c>
      <c r="P148" s="38">
        <f t="shared" si="54"/>
        <v>30.590975000000018</v>
      </c>
      <c r="Q148" s="38">
        <f t="shared" si="68"/>
        <v>13.675000000000008</v>
      </c>
      <c r="R148" s="100">
        <f t="shared" si="85"/>
        <v>628.47900000000016</v>
      </c>
      <c r="S148" s="103">
        <v>-7.07</v>
      </c>
      <c r="T148" s="97">
        <f t="shared" si="88"/>
        <v>-1.6831446547587561</v>
      </c>
      <c r="U148" s="100">
        <f t="shared" si="97"/>
        <v>11.611953416606944</v>
      </c>
      <c r="V148" s="93">
        <f t="shared" si="55"/>
        <v>-7.07</v>
      </c>
      <c r="W148" s="38">
        <f t="shared" si="80"/>
        <v>-2537.5</v>
      </c>
      <c r="X148" s="38">
        <f t="shared" si="81"/>
        <v>65.182306638750063</v>
      </c>
      <c r="Y148" s="38">
        <f t="shared" si="99"/>
        <v>568.98</v>
      </c>
      <c r="Z148" s="38">
        <f t="shared" si="59"/>
        <v>-875.38907281959462</v>
      </c>
      <c r="AA148" s="38">
        <f t="shared" si="60"/>
        <v>-2778.7267661808446</v>
      </c>
      <c r="AB148" s="38">
        <f t="shared" si="61"/>
        <v>-37999.088527523068</v>
      </c>
      <c r="AC148" s="38">
        <f t="shared" si="71"/>
        <v>185199.08852752307</v>
      </c>
      <c r="AD148" s="126">
        <f t="shared" si="62"/>
        <v>49.230000000000032</v>
      </c>
      <c r="AE148" s="126">
        <f t="shared" si="63"/>
        <v>0.10461500000000001</v>
      </c>
      <c r="AF148" s="126">
        <f t="shared" si="89"/>
        <v>38349.241448689259</v>
      </c>
      <c r="AG148" s="126">
        <f t="shared" si="90"/>
        <v>0</v>
      </c>
      <c r="AH148" s="126">
        <f t="shared" si="64"/>
        <v>8672.1695432849137</v>
      </c>
      <c r="AI148" s="126">
        <f t="shared" si="65"/>
        <v>-46671.258070807984</v>
      </c>
      <c r="AJ148" s="126">
        <f t="shared" si="95"/>
        <v>0</v>
      </c>
      <c r="AK148" s="126">
        <f t="shared" si="91"/>
        <v>0</v>
      </c>
      <c r="AL148" s="126">
        <f t="shared" si="92"/>
        <v>-37999.088527523068</v>
      </c>
      <c r="AM148" s="126">
        <f t="shared" si="94"/>
        <v>0</v>
      </c>
      <c r="AN148" s="126">
        <f t="shared" si="75"/>
        <v>0</v>
      </c>
      <c r="AO148" s="126">
        <f t="shared" si="93"/>
        <v>30361.271733490928</v>
      </c>
      <c r="AP148" s="126">
        <f t="shared" si="72"/>
        <v>28.717528261849079</v>
      </c>
      <c r="AQ148" s="126">
        <f t="shared" si="66"/>
        <v>115.79648492681081</v>
      </c>
      <c r="AR148" s="126">
        <f t="shared" si="73"/>
        <v>1</v>
      </c>
      <c r="AS148" s="122"/>
      <c r="AT148" s="122"/>
      <c r="AU148" s="122"/>
      <c r="AV148" s="122"/>
      <c r="AW148" s="122"/>
      <c r="AX148" s="122"/>
      <c r="AY148" s="122"/>
      <c r="AZ148" s="122"/>
      <c r="BA148" s="122"/>
      <c r="BB148" s="122"/>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c r="CB148" s="69"/>
      <c r="CC148" s="69"/>
      <c r="CD148" s="69"/>
      <c r="CE148" s="69"/>
      <c r="CF148" s="69"/>
      <c r="CG148" s="69"/>
      <c r="CH148" s="69"/>
      <c r="CI148" s="69"/>
      <c r="CJ148" s="69"/>
      <c r="CK148" s="69"/>
      <c r="CL148" s="69"/>
      <c r="CM148" s="69"/>
      <c r="CN148" s="69"/>
      <c r="CO148" s="69"/>
      <c r="CP148" s="69"/>
      <c r="CQ148" s="69"/>
      <c r="CR148" s="69"/>
      <c r="CS148" s="69"/>
      <c r="CT148" s="69"/>
      <c r="CU148" s="69"/>
      <c r="CV148" s="69"/>
      <c r="CW148" s="69"/>
    </row>
    <row r="149" spans="1:101" ht="19.5" x14ac:dyDescent="0.35">
      <c r="A149" s="122"/>
      <c r="B149" s="122"/>
      <c r="C149" s="122"/>
      <c r="D149" s="122"/>
      <c r="E149" s="122"/>
      <c r="F149" s="122"/>
      <c r="G149" s="122"/>
      <c r="H149" s="122"/>
      <c r="I149" s="122"/>
      <c r="J149" s="122"/>
      <c r="K149" s="38">
        <v>1</v>
      </c>
      <c r="L149" s="38">
        <v>64</v>
      </c>
      <c r="M149" s="103">
        <v>-3.3</v>
      </c>
      <c r="N149" s="38">
        <f t="shared" si="98"/>
        <v>-43.061264435310235</v>
      </c>
      <c r="O149" s="38">
        <f t="shared" si="74"/>
        <v>10.375000000000007</v>
      </c>
      <c r="P149" s="38">
        <f t="shared" si="54"/>
        <v>23.208875000000017</v>
      </c>
      <c r="Q149" s="38">
        <f t="shared" si="68"/>
        <v>10.375000000000007</v>
      </c>
      <c r="R149" s="93">
        <f t="shared" si="85"/>
        <v>638.85400000000016</v>
      </c>
      <c r="S149" s="103">
        <v>-7.07</v>
      </c>
      <c r="T149" s="97">
        <f t="shared" si="88"/>
        <v>-1.2769744638480509</v>
      </c>
      <c r="U149" s="93">
        <f t="shared" si="97"/>
        <v>10.334978952758894</v>
      </c>
      <c r="V149" s="93">
        <f t="shared" si="55"/>
        <v>-7.07</v>
      </c>
      <c r="W149" s="38">
        <f t="shared" si="80"/>
        <v>-2392.5</v>
      </c>
      <c r="X149" s="38">
        <f t="shared" si="81"/>
        <v>37.519000968750049</v>
      </c>
      <c r="Y149" s="38">
        <f t="shared" si="99"/>
        <v>568.98</v>
      </c>
      <c r="Z149" s="38">
        <f t="shared" si="59"/>
        <v>-875.38907281959462</v>
      </c>
      <c r="AA149" s="38">
        <f t="shared" si="60"/>
        <v>-2661.3900718508444</v>
      </c>
      <c r="AB149" s="38">
        <f t="shared" ref="AB149:AB155" si="100">AA149*O149</f>
        <v>-27611.921995452529</v>
      </c>
      <c r="AC149" s="38">
        <f t="shared" si="71"/>
        <v>174811.92199545252</v>
      </c>
      <c r="AD149" s="126">
        <f t="shared" si="62"/>
        <v>37.35000000000003</v>
      </c>
      <c r="AE149" s="126">
        <f t="shared" si="63"/>
        <v>9.8675000000000013E-2</v>
      </c>
      <c r="AF149" s="126">
        <f t="shared" ref="AF149:AF180" si="101">($AW$84*$AW$85*($G$89*$B$5*AE149+0.5*$B$3*$G$97*$G$96*AD149*AD149)*AD149)*$AW$93</f>
        <v>21756.007375085945</v>
      </c>
      <c r="AG149" s="126">
        <f t="shared" ref="AG149:AG155" si="102">COUNTIF(AB149,"&gt;0")*AB149</f>
        <v>0</v>
      </c>
      <c r="AH149" s="126">
        <f t="shared" si="64"/>
        <v>6292.427135050787</v>
      </c>
      <c r="AI149" s="126">
        <f t="shared" si="65"/>
        <v>-33904.349130503317</v>
      </c>
      <c r="AJ149" s="126">
        <f t="shared" si="95"/>
        <v>0</v>
      </c>
      <c r="AK149" s="126">
        <f t="shared" ref="AK149:AK180" si="103">IF(AJ149,$AW$98,0)</f>
        <v>0</v>
      </c>
      <c r="AL149" s="126">
        <f t="shared" ref="AL149:AL180" si="104">AB149-AK149</f>
        <v>-27611.921995452529</v>
      </c>
      <c r="AM149" s="126">
        <f t="shared" si="94"/>
        <v>0</v>
      </c>
      <c r="AN149" s="126">
        <f t="shared" si="75"/>
        <v>0</v>
      </c>
      <c r="AO149" s="126">
        <f t="shared" ref="AO149:AO155" si="105">(COUNTIF(AL149,"&lt;1")*AL149)*-$AW$94</f>
        <v>22061.925674366568</v>
      </c>
      <c r="AP149" s="126">
        <f t="shared" si="72"/>
        <v>32.39451587424351</v>
      </c>
      <c r="AQ149" s="126">
        <f t="shared" si="66"/>
        <v>130.62304788001416</v>
      </c>
      <c r="AR149" s="126">
        <f t="shared" si="73"/>
        <v>1</v>
      </c>
      <c r="AS149" s="122"/>
      <c r="AT149" s="122"/>
      <c r="AU149" s="122"/>
      <c r="AV149" s="122"/>
      <c r="AW149" s="122"/>
      <c r="AX149" s="122"/>
      <c r="AY149" s="122"/>
      <c r="AZ149" s="122"/>
      <c r="BA149" s="122"/>
      <c r="BB149" s="122"/>
      <c r="BC149" s="69"/>
      <c r="BD149" s="69"/>
      <c r="BE149" s="69"/>
      <c r="BF149" s="69"/>
      <c r="BG149" s="69"/>
      <c r="BH149" s="69"/>
      <c r="BI149" s="69"/>
      <c r="BJ149" s="69"/>
      <c r="BK149" s="69"/>
      <c r="BL149" s="69"/>
      <c r="BM149" s="69"/>
      <c r="BN149" s="69"/>
      <c r="BO149" s="69"/>
      <c r="BP149" s="69"/>
      <c r="BQ149" s="69"/>
      <c r="BR149" s="69"/>
      <c r="BS149" s="69"/>
      <c r="BT149" s="69"/>
      <c r="BU149" s="69"/>
      <c r="BV149" s="69"/>
      <c r="BW149" s="69"/>
      <c r="BX149" s="69"/>
      <c r="BY149" s="69"/>
      <c r="BZ149" s="69"/>
      <c r="CA149" s="69"/>
      <c r="CB149" s="69"/>
      <c r="CC149" s="69"/>
      <c r="CD149" s="69"/>
      <c r="CE149" s="69"/>
      <c r="CF149" s="69"/>
      <c r="CG149" s="69"/>
      <c r="CH149" s="69"/>
      <c r="CI149" s="69"/>
      <c r="CJ149" s="69"/>
      <c r="CK149" s="69"/>
      <c r="CL149" s="69"/>
      <c r="CM149" s="69"/>
      <c r="CN149" s="69"/>
      <c r="CO149" s="69"/>
      <c r="CP149" s="69"/>
      <c r="CQ149" s="69"/>
      <c r="CR149" s="69"/>
      <c r="CS149" s="69"/>
      <c r="CT149" s="69"/>
      <c r="CU149" s="69"/>
      <c r="CV149" s="69"/>
      <c r="CW149" s="69"/>
    </row>
    <row r="150" spans="1:101" ht="19.5" x14ac:dyDescent="0.35">
      <c r="A150" s="122"/>
      <c r="B150" s="122"/>
      <c r="C150" s="122"/>
      <c r="D150" s="122"/>
      <c r="E150" s="122"/>
      <c r="F150" s="122"/>
      <c r="G150" s="122"/>
      <c r="H150" s="122"/>
      <c r="I150" s="122"/>
      <c r="J150" s="122"/>
      <c r="K150" s="38">
        <v>1</v>
      </c>
      <c r="L150" s="38">
        <v>65</v>
      </c>
      <c r="M150" s="103">
        <v>1</v>
      </c>
      <c r="N150" s="38">
        <f t="shared" si="98"/>
        <v>13.048868010700071</v>
      </c>
      <c r="O150" s="38">
        <f t="shared" si="74"/>
        <v>11.375000000000007</v>
      </c>
      <c r="P150" s="38">
        <f t="shared" ref="P150:P155" si="106">O150*2.237</f>
        <v>25.445875000000019</v>
      </c>
      <c r="Q150" s="38">
        <f t="shared" si="68"/>
        <v>11.375000000000007</v>
      </c>
      <c r="R150" s="100">
        <f t="shared" si="85"/>
        <v>650.22900000000016</v>
      </c>
      <c r="S150" s="103">
        <v>-3.07</v>
      </c>
      <c r="T150" s="97">
        <f t="shared" si="88"/>
        <v>-0.6091991930761721</v>
      </c>
      <c r="U150" s="100">
        <f t="shared" si="97"/>
        <v>9.7257797596827213</v>
      </c>
      <c r="V150" s="93">
        <f t="shared" ref="V150:V155" si="107">DEGREES(ASIN(T150/Q150))</f>
        <v>-3.07</v>
      </c>
      <c r="W150" s="38">
        <f t="shared" si="80"/>
        <v>725</v>
      </c>
      <c r="X150" s="38">
        <f t="shared" si="81"/>
        <v>45.100137468750056</v>
      </c>
      <c r="Y150" s="38">
        <f t="shared" si="99"/>
        <v>568.98</v>
      </c>
      <c r="Z150" s="38">
        <f t="shared" ref="Z150:Z155" si="108">$E$6*$B$5*SIN(RADIANS(V150))</f>
        <v>-380.90346909503313</v>
      </c>
      <c r="AA150" s="38">
        <f t="shared" ref="AA150:AA155" si="109">X150+Y150+Z150+W150</f>
        <v>958.17666837371689</v>
      </c>
      <c r="AB150" s="38">
        <f t="shared" si="100"/>
        <v>10899.259602751037</v>
      </c>
      <c r="AC150" s="38">
        <f t="shared" si="71"/>
        <v>136300.74039724897</v>
      </c>
      <c r="AD150" s="126">
        <f t="shared" ref="AD150:AD155" si="110">O150*3.6</f>
        <v>40.950000000000024</v>
      </c>
      <c r="AE150" s="126">
        <f t="shared" ref="AE150:AE155" si="111">$B$4*(1+AD150/160)</f>
        <v>0.10047500000000001</v>
      </c>
      <c r="AF150" s="126">
        <f t="shared" si="101"/>
        <v>26082.645298127805</v>
      </c>
      <c r="AG150" s="126">
        <f t="shared" si="102"/>
        <v>10899.259602751037</v>
      </c>
      <c r="AH150" s="126">
        <f t="shared" ref="AH150:AH155" si="112">((COUNTIF(W150,"&gt;0")*W150)+(COUNTIF(X150,"&gt;0")*X150)+(COUNTIF(Y150,"&gt;0")*Y150)+(COUNTIF(Z150,"&gt;0")*Z150))*O150</f>
        <v>15232.036563707041</v>
      </c>
      <c r="AI150" s="126">
        <f t="shared" ref="AI150:AI155" si="113">((COUNTIF(W150,"&lt;0")*W150)+(COUNTIF(X150,"&lt;0")*X150)+(COUNTIF(Y150,"&lt;0")*Y150)+(COUNTIF(Z150,"&lt;0")*Z150))*O150</f>
        <v>-4332.7769609560046</v>
      </c>
      <c r="AJ150" s="126">
        <f t="shared" si="95"/>
        <v>1</v>
      </c>
      <c r="AK150" s="131">
        <v>0</v>
      </c>
      <c r="AL150" s="126">
        <f t="shared" si="104"/>
        <v>10899.259602751037</v>
      </c>
      <c r="AM150" s="126">
        <f t="shared" si="94"/>
        <v>13641.125910827332</v>
      </c>
      <c r="AN150" s="126">
        <f t="shared" si="75"/>
        <v>10899.259602751037</v>
      </c>
      <c r="AO150" s="126">
        <f t="shared" si="105"/>
        <v>0</v>
      </c>
      <c r="AP150" s="126">
        <f t="shared" si="72"/>
        <v>30.120994889105621</v>
      </c>
      <c r="AQ150" s="126">
        <f t="shared" ref="AQ150:AQ155" si="114">(AP150/$AW$97)*100</f>
        <v>121.45562455284524</v>
      </c>
      <c r="AR150" s="131">
        <f t="shared" si="73"/>
        <v>1</v>
      </c>
      <c r="AS150" s="122"/>
      <c r="AT150" s="122"/>
      <c r="AU150" s="122"/>
      <c r="AV150" s="122"/>
      <c r="AW150" s="122"/>
      <c r="AX150" s="122"/>
      <c r="AY150" s="122"/>
      <c r="AZ150" s="122"/>
      <c r="BA150" s="122"/>
      <c r="BB150" s="122"/>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c r="CB150" s="69"/>
      <c r="CC150" s="69"/>
      <c r="CD150" s="69"/>
      <c r="CE150" s="69"/>
      <c r="CF150" s="69"/>
      <c r="CG150" s="69"/>
      <c r="CH150" s="69"/>
      <c r="CI150" s="69"/>
      <c r="CJ150" s="69"/>
      <c r="CK150" s="69"/>
      <c r="CL150" s="69"/>
      <c r="CM150" s="69"/>
      <c r="CN150" s="69"/>
      <c r="CO150" s="69"/>
      <c r="CP150" s="69"/>
      <c r="CQ150" s="69"/>
      <c r="CR150" s="69"/>
      <c r="CS150" s="69"/>
      <c r="CT150" s="69"/>
      <c r="CU150" s="69"/>
      <c r="CV150" s="69"/>
      <c r="CW150" s="69"/>
    </row>
    <row r="151" spans="1:101" ht="19.5" x14ac:dyDescent="0.35">
      <c r="A151" s="122"/>
      <c r="B151" s="122"/>
      <c r="C151" s="122"/>
      <c r="D151" s="122"/>
      <c r="E151" s="122"/>
      <c r="F151" s="122"/>
      <c r="G151" s="122"/>
      <c r="H151" s="122"/>
      <c r="I151" s="122"/>
      <c r="J151" s="122"/>
      <c r="K151" s="38">
        <v>1</v>
      </c>
      <c r="L151" s="38">
        <v>66</v>
      </c>
      <c r="M151" s="103">
        <v>1</v>
      </c>
      <c r="N151" s="38">
        <f t="shared" si="98"/>
        <v>13.048868010700071</v>
      </c>
      <c r="O151" s="38">
        <f t="shared" si="74"/>
        <v>12.375000000000007</v>
      </c>
      <c r="P151" s="38">
        <f t="shared" si="106"/>
        <v>27.682875000000017</v>
      </c>
      <c r="Q151" s="38">
        <f t="shared" ref="Q151:Q155" si="115">K151*O151</f>
        <v>12.375000000000007</v>
      </c>
      <c r="R151" s="93">
        <f t="shared" si="85"/>
        <v>662.60400000000016</v>
      </c>
      <c r="S151" s="103">
        <v>-3.07</v>
      </c>
      <c r="T151" s="97">
        <f t="shared" si="88"/>
        <v>-0.66275516609385743</v>
      </c>
      <c r="U151" s="93">
        <f t="shared" si="97"/>
        <v>9.0630245935888638</v>
      </c>
      <c r="V151" s="93">
        <f t="shared" si="107"/>
        <v>-3.0699999999999994</v>
      </c>
      <c r="W151" s="38">
        <f t="shared" si="80"/>
        <v>725</v>
      </c>
      <c r="X151" s="38">
        <f t="shared" si="81"/>
        <v>53.378389968750056</v>
      </c>
      <c r="Y151" s="38">
        <f t="shared" si="99"/>
        <v>568.98</v>
      </c>
      <c r="Z151" s="38">
        <f t="shared" si="108"/>
        <v>-380.90346909503307</v>
      </c>
      <c r="AA151" s="38">
        <f t="shared" si="109"/>
        <v>966.45492087371701</v>
      </c>
      <c r="AB151" s="38">
        <f t="shared" si="100"/>
        <v>11959.879645812254</v>
      </c>
      <c r="AC151" s="38">
        <f t="shared" ref="AC151:AC155" si="116">147200-AB151</f>
        <v>135240.12035418773</v>
      </c>
      <c r="AD151" s="126">
        <f t="shared" si="110"/>
        <v>44.550000000000026</v>
      </c>
      <c r="AE151" s="126">
        <f t="shared" si="111"/>
        <v>0.102275</v>
      </c>
      <c r="AF151" s="126">
        <f t="shared" si="101"/>
        <v>30998.652527039423</v>
      </c>
      <c r="AG151" s="126">
        <f t="shared" si="102"/>
        <v>11959.879645812254</v>
      </c>
      <c r="AH151" s="126">
        <f t="shared" si="112"/>
        <v>16673.560075863294</v>
      </c>
      <c r="AI151" s="126">
        <f t="shared" si="113"/>
        <v>-4713.6804300510366</v>
      </c>
      <c r="AJ151" s="126">
        <f t="shared" si="95"/>
        <v>1</v>
      </c>
      <c r="AK151" s="131">
        <v>0</v>
      </c>
      <c r="AL151" s="126">
        <f t="shared" si="104"/>
        <v>11959.879645812254</v>
      </c>
      <c r="AM151" s="126">
        <f t="shared" si="94"/>
        <v>14968.560257587304</v>
      </c>
      <c r="AN151" s="126">
        <f t="shared" ref="AN151:AN155" si="117">(COUNTIF(AL151,"&gt;1")*AL151)</f>
        <v>11959.879645812254</v>
      </c>
      <c r="AO151" s="126">
        <f t="shared" si="105"/>
        <v>0</v>
      </c>
      <c r="AP151" s="126">
        <f t="shared" ref="AP151:AP155" si="118">(COUNTIF(AM151,0)*AP150)+((COUNTIF(AM151,"&gt;1")*AP150)-(AM151/6000))+(AO151/6000)</f>
        <v>27.626234846174405</v>
      </c>
      <c r="AQ151" s="126">
        <f t="shared" si="114"/>
        <v>111.39610825070325</v>
      </c>
      <c r="AR151" s="131">
        <f t="shared" ref="AR151:AR155" si="119">COUNTIF(AP151,"&gt;28")</f>
        <v>0</v>
      </c>
      <c r="AS151" s="122"/>
      <c r="AT151" s="122"/>
      <c r="AU151" s="122"/>
      <c r="AV151" s="122"/>
      <c r="AW151" s="122"/>
      <c r="AX151" s="122"/>
      <c r="AY151" s="122"/>
      <c r="AZ151" s="122"/>
      <c r="BA151" s="122"/>
      <c r="BB151" s="122"/>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c r="CB151" s="69"/>
      <c r="CC151" s="69"/>
      <c r="CD151" s="69"/>
      <c r="CE151" s="69"/>
      <c r="CF151" s="69"/>
      <c r="CG151" s="69"/>
      <c r="CH151" s="69"/>
      <c r="CI151" s="69"/>
      <c r="CJ151" s="69"/>
      <c r="CK151" s="69"/>
      <c r="CL151" s="69"/>
      <c r="CM151" s="69"/>
      <c r="CN151" s="69"/>
      <c r="CO151" s="69"/>
      <c r="CP151" s="69"/>
      <c r="CQ151" s="69"/>
      <c r="CR151" s="69"/>
      <c r="CS151" s="69"/>
      <c r="CT151" s="69"/>
      <c r="CU151" s="69"/>
      <c r="CV151" s="69"/>
      <c r="CW151" s="69"/>
    </row>
    <row r="152" spans="1:101" ht="19.5" x14ac:dyDescent="0.35">
      <c r="A152" s="122"/>
      <c r="B152" s="122"/>
      <c r="C152" s="122"/>
      <c r="D152" s="122"/>
      <c r="E152" s="122"/>
      <c r="F152" s="122"/>
      <c r="G152" s="122"/>
      <c r="H152" s="122"/>
      <c r="I152" s="122"/>
      <c r="J152" s="122"/>
      <c r="K152" s="38">
        <v>1</v>
      </c>
      <c r="L152" s="38">
        <v>67</v>
      </c>
      <c r="M152" s="103">
        <v>1</v>
      </c>
      <c r="N152" s="38">
        <f t="shared" si="98"/>
        <v>13.048868010700071</v>
      </c>
      <c r="O152" s="38">
        <f t="shared" ref="O152:O155" si="120">(K152*M152)+O151</f>
        <v>13.375000000000007</v>
      </c>
      <c r="P152" s="38">
        <f t="shared" si="106"/>
        <v>29.919875000000019</v>
      </c>
      <c r="Q152" s="38">
        <f t="shared" si="115"/>
        <v>13.375000000000007</v>
      </c>
      <c r="R152" s="93">
        <f t="shared" si="85"/>
        <v>675.97900000000016</v>
      </c>
      <c r="S152" s="103">
        <v>-3.07</v>
      </c>
      <c r="T152" s="97">
        <f t="shared" si="88"/>
        <v>-0.71631113911154287</v>
      </c>
      <c r="U152" s="93">
        <f t="shared" si="97"/>
        <v>8.3467134544773209</v>
      </c>
      <c r="V152" s="93">
        <f t="shared" si="107"/>
        <v>-3.07</v>
      </c>
      <c r="W152" s="38">
        <f t="shared" si="80"/>
        <v>725</v>
      </c>
      <c r="X152" s="38">
        <f t="shared" si="81"/>
        <v>62.353758468750065</v>
      </c>
      <c r="Y152" s="38">
        <f t="shared" si="99"/>
        <v>568.98</v>
      </c>
      <c r="Z152" s="38">
        <f t="shared" si="108"/>
        <v>-380.90346909503313</v>
      </c>
      <c r="AA152" s="38">
        <f t="shared" si="109"/>
        <v>975.43028937371696</v>
      </c>
      <c r="AB152" s="38">
        <f t="shared" si="100"/>
        <v>13046.380120373471</v>
      </c>
      <c r="AC152" s="38">
        <f t="shared" si="116"/>
        <v>134153.61987962652</v>
      </c>
      <c r="AD152" s="126">
        <f t="shared" si="110"/>
        <v>48.150000000000027</v>
      </c>
      <c r="AE152" s="126">
        <f t="shared" si="111"/>
        <v>0.10407500000000003</v>
      </c>
      <c r="AF152" s="126">
        <f t="shared" si="101"/>
        <v>36551.868777107782</v>
      </c>
      <c r="AG152" s="126">
        <f t="shared" si="102"/>
        <v>13046.380120373471</v>
      </c>
      <c r="AH152" s="126">
        <f t="shared" si="112"/>
        <v>18140.964019519542</v>
      </c>
      <c r="AI152" s="126">
        <f t="shared" si="113"/>
        <v>-5094.5838991460705</v>
      </c>
      <c r="AJ152" s="126">
        <f t="shared" si="95"/>
        <v>1</v>
      </c>
      <c r="AK152" s="129">
        <f t="shared" ref="AK152:AK155" si="121">IF(AJ152,$AW$98,0)</f>
        <v>34000</v>
      </c>
      <c r="AL152" s="126">
        <f t="shared" si="104"/>
        <v>-20953.619879626531</v>
      </c>
      <c r="AM152" s="126">
        <f t="shared" si="94"/>
        <v>0</v>
      </c>
      <c r="AN152" s="126">
        <f t="shared" si="117"/>
        <v>0</v>
      </c>
      <c r="AO152" s="126">
        <f t="shared" si="105"/>
        <v>16741.942283821598</v>
      </c>
      <c r="AP152" s="126">
        <f t="shared" si="118"/>
        <v>30.416558560144672</v>
      </c>
      <c r="AQ152" s="126">
        <f t="shared" si="114"/>
        <v>122.64741354897043</v>
      </c>
      <c r="AR152" s="129">
        <f t="shared" si="119"/>
        <v>1</v>
      </c>
      <c r="AS152" s="122"/>
      <c r="AT152" s="122"/>
      <c r="AU152" s="122"/>
      <c r="AV152" s="122"/>
      <c r="AW152" s="122"/>
      <c r="AX152" s="122"/>
      <c r="AY152" s="122"/>
      <c r="AZ152" s="122"/>
      <c r="BA152" s="122"/>
      <c r="BB152" s="122"/>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c r="CB152" s="69"/>
      <c r="CC152" s="69"/>
      <c r="CD152" s="69"/>
      <c r="CE152" s="69"/>
      <c r="CF152" s="69"/>
      <c r="CG152" s="69"/>
      <c r="CH152" s="69"/>
      <c r="CI152" s="69"/>
      <c r="CJ152" s="69"/>
      <c r="CK152" s="69"/>
      <c r="CL152" s="69"/>
      <c r="CM152" s="69"/>
      <c r="CN152" s="69"/>
      <c r="CO152" s="69"/>
      <c r="CP152" s="69"/>
      <c r="CQ152" s="69"/>
      <c r="CR152" s="69"/>
      <c r="CS152" s="69"/>
      <c r="CT152" s="69"/>
      <c r="CU152" s="69"/>
      <c r="CV152" s="69"/>
      <c r="CW152" s="69"/>
    </row>
    <row r="153" spans="1:101" ht="19.5" x14ac:dyDescent="0.35">
      <c r="A153" s="122"/>
      <c r="B153" s="122"/>
      <c r="C153" s="122"/>
      <c r="D153" s="122"/>
      <c r="E153" s="122"/>
      <c r="F153" s="122"/>
      <c r="G153" s="122"/>
      <c r="H153" s="122"/>
      <c r="I153" s="122"/>
      <c r="J153" s="122"/>
      <c r="K153" s="38">
        <v>1</v>
      </c>
      <c r="L153" s="38">
        <v>68</v>
      </c>
      <c r="M153" s="103">
        <v>1</v>
      </c>
      <c r="N153" s="38">
        <f t="shared" si="98"/>
        <v>13.048868010700071</v>
      </c>
      <c r="O153" s="38">
        <f t="shared" si="120"/>
        <v>14.375000000000007</v>
      </c>
      <c r="P153" s="38">
        <f t="shared" si="106"/>
        <v>32.156875000000021</v>
      </c>
      <c r="Q153" s="38">
        <f t="shared" si="115"/>
        <v>14.375000000000007</v>
      </c>
      <c r="R153" s="93">
        <f t="shared" si="85"/>
        <v>690.35400000000016</v>
      </c>
      <c r="S153" s="103">
        <v>-3.07</v>
      </c>
      <c r="T153" s="97">
        <f t="shared" si="88"/>
        <v>-0.76986711212922831</v>
      </c>
      <c r="U153" s="93">
        <f t="shared" si="97"/>
        <v>7.5768463423480927</v>
      </c>
      <c r="V153" s="93">
        <f t="shared" si="107"/>
        <v>-3.07</v>
      </c>
      <c r="W153" s="38">
        <f t="shared" si="80"/>
        <v>725</v>
      </c>
      <c r="X153" s="38">
        <f t="shared" si="81"/>
        <v>72.026242968750068</v>
      </c>
      <c r="Y153" s="38">
        <f t="shared" si="99"/>
        <v>568.98</v>
      </c>
      <c r="Z153" s="38">
        <f t="shared" si="108"/>
        <v>-380.90346909503313</v>
      </c>
      <c r="AA153" s="38">
        <f t="shared" si="109"/>
        <v>985.10277387371684</v>
      </c>
      <c r="AB153" s="38">
        <f t="shared" si="100"/>
        <v>14160.852374434686</v>
      </c>
      <c r="AC153" s="38">
        <f t="shared" si="116"/>
        <v>133039.14762556533</v>
      </c>
      <c r="AD153" s="126">
        <f t="shared" si="110"/>
        <v>51.750000000000028</v>
      </c>
      <c r="AE153" s="126">
        <f t="shared" si="111"/>
        <v>0.10587500000000002</v>
      </c>
      <c r="AF153" s="126">
        <f t="shared" si="101"/>
        <v>42790.133763619859</v>
      </c>
      <c r="AG153" s="126">
        <f t="shared" si="102"/>
        <v>14160.852374434686</v>
      </c>
      <c r="AH153" s="126">
        <f t="shared" si="112"/>
        <v>19636.339742675791</v>
      </c>
      <c r="AI153" s="126">
        <f t="shared" si="113"/>
        <v>-5475.4873682411044</v>
      </c>
      <c r="AJ153" s="126">
        <f t="shared" si="95"/>
        <v>1</v>
      </c>
      <c r="AK153" s="129">
        <f t="shared" si="121"/>
        <v>34000</v>
      </c>
      <c r="AL153" s="126">
        <f t="shared" si="104"/>
        <v>-19839.147625565314</v>
      </c>
      <c r="AM153" s="126">
        <f t="shared" si="94"/>
        <v>0</v>
      </c>
      <c r="AN153" s="126">
        <f t="shared" si="117"/>
        <v>0</v>
      </c>
      <c r="AO153" s="126">
        <f t="shared" si="105"/>
        <v>15851.478952826685</v>
      </c>
      <c r="AP153" s="126">
        <f t="shared" si="118"/>
        <v>33.058471718949122</v>
      </c>
      <c r="AQ153" s="126">
        <f t="shared" si="114"/>
        <v>133.30028918931097</v>
      </c>
      <c r="AR153" s="129">
        <f t="shared" si="119"/>
        <v>1</v>
      </c>
      <c r="AS153" s="122"/>
      <c r="AT153" s="122"/>
      <c r="AU153" s="122"/>
      <c r="AV153" s="122"/>
      <c r="AW153" s="122"/>
      <c r="AX153" s="122"/>
      <c r="AY153" s="122"/>
      <c r="AZ153" s="122"/>
      <c r="BA153" s="122"/>
      <c r="BB153" s="122"/>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c r="CB153" s="69"/>
      <c r="CC153" s="69"/>
      <c r="CD153" s="69"/>
      <c r="CE153" s="69"/>
      <c r="CF153" s="69"/>
      <c r="CG153" s="69"/>
      <c r="CH153" s="69"/>
      <c r="CI153" s="69"/>
      <c r="CJ153" s="69"/>
      <c r="CK153" s="69"/>
      <c r="CL153" s="69"/>
      <c r="CM153" s="69"/>
      <c r="CN153" s="69"/>
      <c r="CO153" s="69"/>
      <c r="CP153" s="69"/>
      <c r="CQ153" s="69"/>
      <c r="CR153" s="69"/>
      <c r="CS153" s="69"/>
      <c r="CT153" s="69"/>
      <c r="CU153" s="69"/>
      <c r="CV153" s="69"/>
      <c r="CW153" s="69"/>
    </row>
    <row r="154" spans="1:101" ht="19.5" x14ac:dyDescent="0.35">
      <c r="A154" s="122"/>
      <c r="B154" s="122"/>
      <c r="C154" s="122"/>
      <c r="D154" s="122"/>
      <c r="E154" s="122"/>
      <c r="F154" s="122"/>
      <c r="G154" s="122"/>
      <c r="H154" s="122"/>
      <c r="I154" s="122"/>
      <c r="J154" s="122"/>
      <c r="K154" s="38">
        <v>1</v>
      </c>
      <c r="L154" s="38">
        <v>69</v>
      </c>
      <c r="M154" s="103">
        <v>1</v>
      </c>
      <c r="N154" s="38">
        <f t="shared" si="98"/>
        <v>13.048868010700071</v>
      </c>
      <c r="O154" s="38">
        <f t="shared" si="120"/>
        <v>15.375000000000007</v>
      </c>
      <c r="P154" s="38">
        <f t="shared" si="106"/>
        <v>34.393875000000016</v>
      </c>
      <c r="Q154" s="38">
        <f t="shared" si="115"/>
        <v>15.375000000000007</v>
      </c>
      <c r="R154" s="93">
        <f t="shared" si="85"/>
        <v>705.72900000000016</v>
      </c>
      <c r="S154" s="103">
        <v>-3.07</v>
      </c>
      <c r="T154" s="97">
        <f t="shared" si="88"/>
        <v>-0.82342308514691376</v>
      </c>
      <c r="U154" s="93">
        <f t="shared" si="97"/>
        <v>6.7534232572011792</v>
      </c>
      <c r="V154" s="93">
        <f t="shared" si="107"/>
        <v>-3.07</v>
      </c>
      <c r="W154" s="38">
        <f t="shared" si="80"/>
        <v>725</v>
      </c>
      <c r="X154" s="38">
        <f t="shared" si="81"/>
        <v>82.395843468750073</v>
      </c>
      <c r="Y154" s="38">
        <f t="shared" si="99"/>
        <v>568.98</v>
      </c>
      <c r="Z154" s="38">
        <f t="shared" si="108"/>
        <v>-380.90346909503313</v>
      </c>
      <c r="AA154" s="38">
        <f t="shared" si="109"/>
        <v>995.472374373717</v>
      </c>
      <c r="AB154" s="38">
        <f t="shared" si="100"/>
        <v>15305.387755995906</v>
      </c>
      <c r="AC154" s="38">
        <f t="shared" si="116"/>
        <v>131894.61224400409</v>
      </c>
      <c r="AD154" s="126">
        <f t="shared" si="110"/>
        <v>55.35000000000003</v>
      </c>
      <c r="AE154" s="126">
        <f t="shared" si="111"/>
        <v>0.10767500000000002</v>
      </c>
      <c r="AF154" s="126">
        <f t="shared" si="101"/>
        <v>49761.287201862622</v>
      </c>
      <c r="AG154" s="126">
        <f t="shared" si="102"/>
        <v>15305.387755995906</v>
      </c>
      <c r="AH154" s="126">
        <f t="shared" si="112"/>
        <v>21161.778593332045</v>
      </c>
      <c r="AI154" s="126">
        <f t="shared" si="113"/>
        <v>-5856.3908373361373</v>
      </c>
      <c r="AJ154" s="126">
        <f t="shared" si="95"/>
        <v>1</v>
      </c>
      <c r="AK154" s="131">
        <v>0</v>
      </c>
      <c r="AL154" s="126">
        <f t="shared" si="104"/>
        <v>15305.387755995906</v>
      </c>
      <c r="AM154" s="126">
        <f t="shared" ref="AM154:AM185" si="122">(COUNTIF(AL154,"&gt;1")*AL154)/$AW$94</f>
        <v>19155.679294112524</v>
      </c>
      <c r="AN154" s="126">
        <f t="shared" si="117"/>
        <v>15305.387755995906</v>
      </c>
      <c r="AO154" s="126">
        <f t="shared" si="105"/>
        <v>0</v>
      </c>
      <c r="AP154" s="126">
        <f t="shared" si="118"/>
        <v>29.865858503263702</v>
      </c>
      <c r="AQ154" s="126">
        <f t="shared" si="114"/>
        <v>120.42684880348267</v>
      </c>
      <c r="AR154" s="131">
        <f t="shared" si="119"/>
        <v>1</v>
      </c>
      <c r="AS154" s="122"/>
      <c r="AT154" s="122"/>
      <c r="AU154" s="122"/>
      <c r="AV154" s="122"/>
      <c r="AW154" s="122"/>
      <c r="AX154" s="122"/>
      <c r="AY154" s="122"/>
      <c r="AZ154" s="122"/>
      <c r="BA154" s="122"/>
      <c r="BB154" s="122"/>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c r="CB154" s="69"/>
      <c r="CC154" s="69"/>
      <c r="CD154" s="69"/>
      <c r="CE154" s="69"/>
      <c r="CF154" s="69"/>
      <c r="CG154" s="69"/>
      <c r="CH154" s="69"/>
      <c r="CI154" s="69"/>
      <c r="CJ154" s="69"/>
      <c r="CK154" s="69"/>
      <c r="CL154" s="69"/>
      <c r="CM154" s="69"/>
      <c r="CN154" s="69"/>
      <c r="CO154" s="69"/>
      <c r="CP154" s="69"/>
      <c r="CQ154" s="69"/>
      <c r="CR154" s="69"/>
      <c r="CS154" s="69"/>
      <c r="CT154" s="69"/>
      <c r="CU154" s="69"/>
      <c r="CV154" s="69"/>
      <c r="CW154" s="69"/>
    </row>
    <row r="155" spans="1:101" ht="19.5" x14ac:dyDescent="0.35">
      <c r="A155" s="122"/>
      <c r="B155" s="122"/>
      <c r="C155" s="122"/>
      <c r="D155" s="122"/>
      <c r="E155" s="122"/>
      <c r="F155" s="122"/>
      <c r="G155" s="122"/>
      <c r="H155" s="122"/>
      <c r="I155" s="122"/>
      <c r="J155" s="122"/>
      <c r="K155" s="38">
        <v>1</v>
      </c>
      <c r="L155" s="38">
        <v>70</v>
      </c>
      <c r="M155" s="103">
        <v>1</v>
      </c>
      <c r="N155" s="38">
        <f t="shared" si="98"/>
        <v>13.048868010700071</v>
      </c>
      <c r="O155" s="38">
        <f t="shared" si="120"/>
        <v>16.375000000000007</v>
      </c>
      <c r="P155" s="38">
        <f t="shared" si="106"/>
        <v>36.630875000000017</v>
      </c>
      <c r="Q155" s="38">
        <f t="shared" si="115"/>
        <v>16.375000000000007</v>
      </c>
      <c r="R155" s="100">
        <f t="shared" si="85"/>
        <v>722.10400000000016</v>
      </c>
      <c r="S155" s="103">
        <v>5.7</v>
      </c>
      <c r="T155" s="97">
        <f t="shared" si="88"/>
        <v>1.6263609020520895</v>
      </c>
      <c r="U155" s="100">
        <f t="shared" si="97"/>
        <v>8.3797841592532691</v>
      </c>
      <c r="V155" s="93">
        <f t="shared" si="107"/>
        <v>5.7</v>
      </c>
      <c r="W155" s="38">
        <f t="shared" si="80"/>
        <v>725</v>
      </c>
      <c r="X155" s="38">
        <f t="shared" si="81"/>
        <v>93.462559968750071</v>
      </c>
      <c r="Y155" s="38">
        <f t="shared" si="99"/>
        <v>568.98</v>
      </c>
      <c r="Z155" s="38">
        <f t="shared" si="108"/>
        <v>706.3868901141966</v>
      </c>
      <c r="AA155" s="38">
        <f t="shared" si="109"/>
        <v>2093.8294500829466</v>
      </c>
      <c r="AB155" s="38">
        <f t="shared" si="100"/>
        <v>34286.457245108264</v>
      </c>
      <c r="AC155" s="38">
        <f t="shared" si="116"/>
        <v>112913.54275489174</v>
      </c>
      <c r="AD155" s="126">
        <f t="shared" si="110"/>
        <v>58.950000000000024</v>
      </c>
      <c r="AE155" s="126">
        <f t="shared" si="111"/>
        <v>0.10947500000000002</v>
      </c>
      <c r="AF155" s="126">
        <f t="shared" si="101"/>
        <v>57513.16880712306</v>
      </c>
      <c r="AG155" s="126">
        <f t="shared" si="102"/>
        <v>34286.457245108264</v>
      </c>
      <c r="AH155" s="126">
        <f t="shared" si="112"/>
        <v>34286.457245108271</v>
      </c>
      <c r="AI155" s="126">
        <f t="shared" si="113"/>
        <v>0</v>
      </c>
      <c r="AJ155" s="126">
        <f t="shared" si="95"/>
        <v>1</v>
      </c>
      <c r="AK155" s="129">
        <f t="shared" si="121"/>
        <v>34000</v>
      </c>
      <c r="AL155" s="126">
        <f t="shared" si="104"/>
        <v>286.45724510826403</v>
      </c>
      <c r="AM155" s="126">
        <f t="shared" si="122"/>
        <v>358.5197060178524</v>
      </c>
      <c r="AN155" s="126">
        <f t="shared" si="117"/>
        <v>286.45724510826403</v>
      </c>
      <c r="AO155" s="126">
        <f t="shared" si="105"/>
        <v>0</v>
      </c>
      <c r="AP155" s="126">
        <f t="shared" si="118"/>
        <v>29.806105218927392</v>
      </c>
      <c r="AQ155" s="126">
        <f t="shared" si="114"/>
        <v>120.18590814083625</v>
      </c>
      <c r="AR155" s="129">
        <f t="shared" si="119"/>
        <v>1</v>
      </c>
      <c r="AS155" s="122"/>
      <c r="AT155" s="122"/>
      <c r="AU155" s="122"/>
      <c r="AV155" s="122"/>
      <c r="AW155" s="122"/>
      <c r="AX155" s="122"/>
      <c r="AY155" s="122"/>
      <c r="AZ155" s="122"/>
      <c r="BA155" s="122"/>
      <c r="BB155" s="122"/>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c r="CB155" s="69"/>
      <c r="CC155" s="69"/>
      <c r="CD155" s="69"/>
      <c r="CE155" s="69"/>
      <c r="CF155" s="69"/>
      <c r="CG155" s="69"/>
      <c r="CH155" s="69"/>
      <c r="CI155" s="69"/>
      <c r="CJ155" s="69"/>
      <c r="CK155" s="69"/>
      <c r="CL155" s="69"/>
      <c r="CM155" s="69"/>
      <c r="CN155" s="69"/>
      <c r="CO155" s="69"/>
      <c r="CP155" s="69"/>
      <c r="CQ155" s="69"/>
      <c r="CR155" s="69"/>
      <c r="CS155" s="69"/>
      <c r="CT155" s="69"/>
      <c r="CU155" s="69"/>
      <c r="CV155" s="69"/>
      <c r="CW155" s="69"/>
    </row>
    <row r="156" spans="1:101" ht="19.5" x14ac:dyDescent="0.35">
      <c r="A156" s="122"/>
      <c r="B156" s="122"/>
      <c r="C156" s="122"/>
      <c r="D156" s="122"/>
      <c r="E156" s="122"/>
      <c r="F156" s="122"/>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f>COUNTIF(AJ85:AJ155,1)</f>
        <v>27</v>
      </c>
      <c r="AK156" s="122"/>
      <c r="AL156" s="122"/>
      <c r="AM156" s="122"/>
      <c r="AN156" s="122"/>
      <c r="AO156" s="122"/>
      <c r="AP156" s="122"/>
      <c r="AQ156" s="122"/>
      <c r="AR156" s="122"/>
      <c r="AS156" s="122"/>
      <c r="AT156" s="122"/>
      <c r="AU156" s="122"/>
      <c r="AV156" s="122"/>
      <c r="AW156" s="122"/>
      <c r="AX156" s="122"/>
      <c r="AY156" s="122"/>
      <c r="AZ156" s="122"/>
      <c r="BA156" s="122"/>
      <c r="BB156" s="122"/>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c r="CB156" s="69"/>
      <c r="CC156" s="69"/>
      <c r="CD156" s="69"/>
      <c r="CE156" s="69"/>
      <c r="CF156" s="69"/>
      <c r="CG156" s="69"/>
      <c r="CH156" s="69"/>
      <c r="CI156" s="69"/>
      <c r="CJ156" s="69"/>
      <c r="CK156" s="69"/>
      <c r="CL156" s="69"/>
      <c r="CM156" s="69"/>
      <c r="CN156" s="69"/>
      <c r="CO156" s="69"/>
      <c r="CP156" s="69"/>
      <c r="CQ156" s="69"/>
      <c r="CR156" s="69"/>
      <c r="CS156" s="69"/>
      <c r="CT156" s="69"/>
      <c r="CU156" s="69"/>
      <c r="CV156" s="69"/>
      <c r="CW156" s="69"/>
    </row>
    <row r="157" spans="1:101" ht="19.5" x14ac:dyDescent="0.35">
      <c r="A157" s="122"/>
      <c r="B157" s="122"/>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6">
        <f>MAX(AM85:AM155)</f>
        <v>85371.148948747388</v>
      </c>
      <c r="AN157" s="141" t="s">
        <v>249</v>
      </c>
      <c r="AO157" s="122"/>
      <c r="AP157" s="122"/>
      <c r="AQ157" s="122"/>
      <c r="AR157" s="122"/>
      <c r="AS157" s="122"/>
      <c r="AT157" s="122"/>
      <c r="AU157" s="122"/>
      <c r="AV157" s="122"/>
      <c r="AW157" s="122"/>
      <c r="AX157" s="122"/>
      <c r="AY157" s="122"/>
      <c r="AZ157" s="122"/>
      <c r="BA157" s="122"/>
      <c r="BB157" s="122"/>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c r="CB157" s="69"/>
      <c r="CC157" s="69"/>
      <c r="CD157" s="69"/>
      <c r="CE157" s="69"/>
      <c r="CF157" s="69"/>
      <c r="CG157" s="69"/>
      <c r="CH157" s="69"/>
      <c r="CI157" s="69"/>
      <c r="CJ157" s="69"/>
      <c r="CK157" s="69"/>
      <c r="CL157" s="69"/>
      <c r="CM157" s="69"/>
      <c r="CN157" s="69"/>
      <c r="CO157" s="69"/>
      <c r="CP157" s="69"/>
      <c r="CQ157" s="69"/>
      <c r="CR157" s="69"/>
      <c r="CS157" s="69"/>
      <c r="CT157" s="69"/>
      <c r="CU157" s="69"/>
      <c r="CV157" s="69"/>
      <c r="CW157" s="69"/>
    </row>
    <row r="158" spans="1:101" ht="19.5" x14ac:dyDescent="0.35">
      <c r="A158" s="122"/>
      <c r="B158" s="122"/>
      <c r="C158" s="122"/>
      <c r="D158" s="122"/>
      <c r="E158" s="122"/>
      <c r="F158" s="122"/>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6">
        <f>AM157/6000</f>
        <v>14.228524824791231</v>
      </c>
      <c r="AN158" s="141" t="s">
        <v>254</v>
      </c>
      <c r="AO158" s="122"/>
      <c r="AP158" s="122"/>
      <c r="AQ158" s="122"/>
      <c r="AR158" s="122"/>
      <c r="AS158" s="122"/>
      <c r="AT158" s="122"/>
      <c r="AU158" s="122"/>
      <c r="AV158" s="122"/>
      <c r="AW158" s="122"/>
      <c r="AX158" s="122"/>
      <c r="AY158" s="122"/>
      <c r="AZ158" s="122"/>
      <c r="BA158" s="122"/>
      <c r="BB158" s="122"/>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c r="CB158" s="69"/>
      <c r="CC158" s="69"/>
      <c r="CD158" s="69"/>
      <c r="CE158" s="69"/>
      <c r="CF158" s="69"/>
      <c r="CG158" s="69"/>
      <c r="CH158" s="69"/>
      <c r="CI158" s="69"/>
      <c r="CJ158" s="69"/>
      <c r="CK158" s="69"/>
      <c r="CL158" s="69"/>
      <c r="CM158" s="69"/>
      <c r="CN158" s="69"/>
      <c r="CO158" s="69"/>
      <c r="CP158" s="69"/>
      <c r="CQ158" s="69"/>
      <c r="CR158" s="69"/>
      <c r="CS158" s="69"/>
      <c r="CT158" s="69"/>
      <c r="CU158" s="69"/>
      <c r="CV158" s="69"/>
      <c r="CW158" s="69"/>
    </row>
    <row r="159" spans="1:101" ht="19.5" x14ac:dyDescent="0.35">
      <c r="A159" s="122"/>
      <c r="B159" s="122"/>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122"/>
      <c r="AA159" s="122"/>
      <c r="AB159" s="122"/>
      <c r="AC159" s="122"/>
      <c r="AD159" s="122"/>
      <c r="AE159" s="122"/>
      <c r="AF159" s="122"/>
      <c r="AG159" s="122"/>
      <c r="AH159" s="122"/>
      <c r="AI159" s="122"/>
      <c r="AJ159" s="122"/>
      <c r="AK159" s="122"/>
      <c r="AL159" s="122"/>
      <c r="AM159" s="122"/>
      <c r="AN159" s="122"/>
      <c r="AO159" s="122"/>
      <c r="AP159" s="122"/>
      <c r="AQ159" s="122"/>
      <c r="AR159" s="122"/>
      <c r="AS159" s="122"/>
      <c r="AT159" s="122"/>
      <c r="AU159" s="122"/>
      <c r="AV159" s="122"/>
      <c r="AW159" s="122"/>
      <c r="AX159" s="122"/>
      <c r="AY159" s="122"/>
      <c r="AZ159" s="122"/>
      <c r="BA159" s="122"/>
      <c r="BB159" s="122"/>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c r="CB159" s="69"/>
      <c r="CC159" s="69"/>
      <c r="CD159" s="69"/>
      <c r="CE159" s="69"/>
      <c r="CF159" s="69"/>
      <c r="CG159" s="69"/>
      <c r="CH159" s="69"/>
      <c r="CI159" s="69"/>
      <c r="CJ159" s="69"/>
      <c r="CK159" s="69"/>
      <c r="CL159" s="69"/>
      <c r="CM159" s="69"/>
      <c r="CN159" s="69"/>
      <c r="CO159" s="69"/>
      <c r="CP159" s="69"/>
      <c r="CQ159" s="69"/>
      <c r="CR159" s="69"/>
      <c r="CS159" s="69"/>
      <c r="CT159" s="69"/>
      <c r="CU159" s="69"/>
      <c r="CV159" s="69"/>
      <c r="CW159" s="69"/>
    </row>
    <row r="160" spans="1:101" ht="19.5" x14ac:dyDescent="0.35">
      <c r="A160" s="122"/>
      <c r="B160" s="122"/>
      <c r="C160" s="122"/>
      <c r="D160" s="122"/>
      <c r="E160" s="122"/>
      <c r="F160" s="122"/>
      <c r="G160" s="122"/>
      <c r="H160" s="122"/>
      <c r="I160" s="122"/>
      <c r="J160" s="122"/>
      <c r="K160" s="122"/>
      <c r="L160" s="122"/>
      <c r="M160" s="122"/>
      <c r="N160" s="122"/>
      <c r="O160" s="122"/>
      <c r="P160" s="122"/>
      <c r="Q160" s="122"/>
      <c r="R160" s="122"/>
      <c r="S160" s="122"/>
      <c r="T160" s="122"/>
      <c r="U160" s="122"/>
      <c r="V160" s="122"/>
      <c r="W160" s="122"/>
      <c r="X160" s="122"/>
      <c r="Y160" s="122"/>
      <c r="Z160" s="122"/>
      <c r="AA160" s="122"/>
      <c r="AB160" s="122"/>
      <c r="AC160" s="122"/>
      <c r="AD160" s="122"/>
      <c r="AE160" s="122"/>
      <c r="AF160" s="122"/>
      <c r="AG160" s="122"/>
      <c r="AH160" s="122"/>
      <c r="AI160" s="122"/>
      <c r="AJ160" s="122"/>
      <c r="AK160" s="122"/>
      <c r="AL160" s="122"/>
      <c r="AM160" s="122"/>
      <c r="AN160" s="122"/>
      <c r="AO160" s="122"/>
      <c r="AP160" s="122"/>
      <c r="AQ160" s="122"/>
      <c r="AR160" s="122"/>
      <c r="AS160" s="122"/>
      <c r="AT160" s="122"/>
      <c r="AU160" s="122"/>
      <c r="AV160" s="122"/>
      <c r="AW160" s="122"/>
      <c r="AX160" s="122"/>
      <c r="AY160" s="122"/>
      <c r="AZ160" s="122"/>
      <c r="BA160" s="122"/>
      <c r="BB160" s="122"/>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c r="CB160" s="69"/>
      <c r="CC160" s="69"/>
      <c r="CD160" s="69"/>
      <c r="CE160" s="69"/>
      <c r="CF160" s="69"/>
      <c r="CG160" s="69"/>
      <c r="CH160" s="69"/>
      <c r="CI160" s="69"/>
      <c r="CJ160" s="69"/>
      <c r="CK160" s="69"/>
      <c r="CL160" s="69"/>
      <c r="CM160" s="69"/>
      <c r="CN160" s="69"/>
      <c r="CO160" s="69"/>
      <c r="CP160" s="69"/>
      <c r="CQ160" s="69"/>
      <c r="CR160" s="69"/>
      <c r="CS160" s="69"/>
      <c r="CT160" s="69"/>
      <c r="CU160" s="69"/>
      <c r="CV160" s="69"/>
      <c r="CW160" s="69"/>
    </row>
    <row r="161" spans="1:101" ht="19.5" x14ac:dyDescent="0.35">
      <c r="A161" s="122"/>
      <c r="B161" s="122"/>
      <c r="C161" s="122"/>
      <c r="D161" s="122"/>
      <c r="E161" s="122"/>
      <c r="F161" s="122"/>
      <c r="G161" s="122"/>
      <c r="H161" s="122"/>
      <c r="I161" s="122"/>
      <c r="J161" s="122"/>
      <c r="K161" s="122"/>
      <c r="L161" s="122"/>
      <c r="M161" s="122"/>
      <c r="N161" s="122"/>
      <c r="O161" s="122"/>
      <c r="P161" s="122"/>
      <c r="Q161" s="122"/>
      <c r="R161" s="122"/>
      <c r="S161" s="122"/>
      <c r="T161" s="122"/>
      <c r="U161" s="122"/>
      <c r="V161" s="122"/>
      <c r="W161" s="122"/>
      <c r="X161" s="122"/>
      <c r="Y161" s="122"/>
      <c r="Z161" s="122"/>
      <c r="AA161" s="122"/>
      <c r="AB161" s="122"/>
      <c r="AC161" s="122"/>
      <c r="AD161" s="122"/>
      <c r="AE161" s="122"/>
      <c r="AF161" s="122"/>
      <c r="AG161" s="122"/>
      <c r="AH161" s="122"/>
      <c r="AI161" s="122"/>
      <c r="AJ161" s="122"/>
      <c r="AK161" s="122"/>
      <c r="AL161" s="122"/>
      <c r="AM161" s="122"/>
      <c r="AN161" s="122"/>
      <c r="AO161" s="122"/>
      <c r="AP161" s="122"/>
      <c r="AQ161" s="122"/>
      <c r="AR161" s="122"/>
      <c r="AS161" s="122"/>
      <c r="AT161" s="122"/>
      <c r="AU161" s="122"/>
      <c r="AV161" s="122"/>
      <c r="AW161" s="122"/>
      <c r="AX161" s="122"/>
      <c r="AY161" s="122"/>
      <c r="AZ161" s="122"/>
      <c r="BA161" s="122"/>
      <c r="BB161" s="122"/>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c r="CB161" s="69"/>
      <c r="CC161" s="69"/>
      <c r="CD161" s="69"/>
      <c r="CE161" s="69"/>
      <c r="CF161" s="69"/>
      <c r="CG161" s="69"/>
      <c r="CH161" s="69"/>
      <c r="CI161" s="69"/>
      <c r="CJ161" s="69"/>
      <c r="CK161" s="69"/>
      <c r="CL161" s="69"/>
      <c r="CM161" s="69"/>
      <c r="CN161" s="69"/>
      <c r="CO161" s="69"/>
      <c r="CP161" s="69"/>
      <c r="CQ161" s="69"/>
      <c r="CR161" s="69"/>
      <c r="CS161" s="69"/>
      <c r="CT161" s="69"/>
      <c r="CU161" s="69"/>
      <c r="CV161" s="69"/>
      <c r="CW161" s="69"/>
    </row>
    <row r="162" spans="1:101" ht="19.5" x14ac:dyDescent="0.35">
      <c r="A162" s="122"/>
      <c r="B162" s="122"/>
      <c r="C162" s="122"/>
      <c r="D162" s="122"/>
      <c r="E162" s="122"/>
      <c r="F162" s="122"/>
      <c r="G162" s="122"/>
      <c r="H162" s="122"/>
      <c r="I162" s="122"/>
      <c r="J162" s="122"/>
      <c r="K162" s="122"/>
      <c r="L162" s="122"/>
      <c r="M162" s="122"/>
      <c r="N162" s="122"/>
      <c r="O162" s="122"/>
      <c r="P162" s="122"/>
      <c r="Q162" s="122"/>
      <c r="R162" s="122"/>
      <c r="S162" s="122"/>
      <c r="T162" s="122"/>
      <c r="U162" s="122"/>
      <c r="V162" s="122"/>
      <c r="W162" s="122"/>
      <c r="X162" s="122"/>
      <c r="Y162" s="122"/>
      <c r="Z162" s="122"/>
      <c r="AA162" s="122"/>
      <c r="AB162" s="122"/>
      <c r="AC162" s="122"/>
      <c r="AD162" s="122"/>
      <c r="AE162" s="122"/>
      <c r="AF162" s="122"/>
      <c r="AG162" s="122"/>
      <c r="AH162" s="122"/>
      <c r="AI162" s="122"/>
      <c r="AJ162" s="122"/>
      <c r="AK162" s="161"/>
      <c r="AL162" s="122"/>
      <c r="AM162" s="122"/>
      <c r="AN162" s="122"/>
      <c r="AO162" s="122"/>
      <c r="AP162" s="122"/>
      <c r="AQ162" s="122"/>
      <c r="AR162" s="122"/>
      <c r="AS162" s="122"/>
      <c r="AT162" s="122"/>
      <c r="AU162" s="122"/>
      <c r="AV162" s="122"/>
      <c r="AW162" s="122"/>
      <c r="AX162" s="122"/>
      <c r="AY162" s="122"/>
      <c r="AZ162" s="122"/>
      <c r="BA162" s="122"/>
      <c r="BB162" s="122"/>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c r="CB162" s="69"/>
      <c r="CC162" s="69"/>
      <c r="CD162" s="69"/>
      <c r="CE162" s="69"/>
      <c r="CF162" s="69"/>
      <c r="CG162" s="69"/>
      <c r="CH162" s="69"/>
      <c r="CI162" s="69"/>
      <c r="CJ162" s="69"/>
      <c r="CK162" s="69"/>
      <c r="CL162" s="69"/>
      <c r="CM162" s="69"/>
      <c r="CN162" s="69"/>
      <c r="CO162" s="69"/>
      <c r="CP162" s="69"/>
      <c r="CQ162" s="69"/>
      <c r="CR162" s="69"/>
      <c r="CS162" s="69"/>
      <c r="CT162" s="69"/>
      <c r="CU162" s="69"/>
      <c r="CV162" s="69"/>
      <c r="CW162" s="69"/>
    </row>
    <row r="163" spans="1:101" ht="23.25" x14ac:dyDescent="0.35">
      <c r="A163" s="122"/>
      <c r="B163" s="122"/>
      <c r="C163" s="122"/>
      <c r="D163" s="122"/>
      <c r="E163" s="122"/>
      <c r="F163" s="122"/>
      <c r="G163" s="122"/>
      <c r="H163" s="122"/>
      <c r="I163" s="122"/>
      <c r="J163" s="122"/>
      <c r="K163" s="122"/>
      <c r="L163" s="122"/>
      <c r="M163" s="122"/>
      <c r="N163" s="122"/>
      <c r="O163" s="122"/>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2"/>
      <c r="AK163" s="162"/>
      <c r="AL163" s="122"/>
      <c r="AM163" s="122"/>
      <c r="AN163" s="122"/>
      <c r="AO163" s="122"/>
      <c r="AP163" s="122"/>
      <c r="AQ163" s="122"/>
      <c r="AR163" s="122"/>
      <c r="AS163" s="122"/>
      <c r="AT163" s="122"/>
      <c r="AU163" s="122"/>
      <c r="AV163" s="122"/>
      <c r="AW163" s="122"/>
      <c r="AX163" s="122"/>
      <c r="AY163" s="122"/>
      <c r="AZ163" s="122"/>
      <c r="BA163" s="122"/>
      <c r="BB163" s="122"/>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c r="CB163" s="69"/>
      <c r="CC163" s="69"/>
      <c r="CD163" s="69"/>
      <c r="CE163" s="69"/>
      <c r="CF163" s="69"/>
      <c r="CG163" s="69"/>
      <c r="CH163" s="69"/>
      <c r="CI163" s="69"/>
      <c r="CJ163" s="69"/>
      <c r="CK163" s="69"/>
      <c r="CL163" s="69"/>
      <c r="CM163" s="69"/>
      <c r="CN163" s="69"/>
      <c r="CO163" s="69"/>
      <c r="CP163" s="69"/>
      <c r="CQ163" s="69"/>
      <c r="CR163" s="69"/>
      <c r="CS163" s="69"/>
      <c r="CT163" s="69"/>
      <c r="CU163" s="69"/>
      <c r="CV163" s="69"/>
      <c r="CW163" s="69"/>
    </row>
    <row r="164" spans="1:101" ht="23.25" x14ac:dyDescent="0.35">
      <c r="A164" s="122"/>
      <c r="B164" s="122"/>
      <c r="C164" s="122"/>
      <c r="D164" s="122"/>
      <c r="E164" s="122"/>
      <c r="F164" s="122"/>
      <c r="G164" s="122"/>
      <c r="H164" s="122"/>
      <c r="I164" s="122"/>
      <c r="J164" s="122"/>
      <c r="K164" s="122"/>
      <c r="L164" s="122"/>
      <c r="M164" s="122"/>
      <c r="N164" s="122"/>
      <c r="O164" s="122"/>
      <c r="P164" s="122"/>
      <c r="Q164" s="122"/>
      <c r="R164" s="122"/>
      <c r="S164" s="122"/>
      <c r="T164" s="122"/>
      <c r="U164" s="122"/>
      <c r="V164" s="122"/>
      <c r="W164" s="122"/>
      <c r="X164" s="122"/>
      <c r="Y164" s="122"/>
      <c r="Z164" s="122"/>
      <c r="AA164" s="122"/>
      <c r="AB164" s="122"/>
      <c r="AC164" s="122"/>
      <c r="AD164" s="122"/>
      <c r="AE164" s="122"/>
      <c r="AF164" s="122"/>
      <c r="AG164" s="122"/>
      <c r="AH164" s="122"/>
      <c r="AI164" s="122"/>
      <c r="AJ164" s="122"/>
      <c r="AK164" s="122"/>
      <c r="AL164" s="122"/>
      <c r="AM164" s="122"/>
      <c r="AN164" s="162" t="s">
        <v>293</v>
      </c>
      <c r="AO164" s="122"/>
      <c r="AP164" s="122"/>
      <c r="AQ164" s="122"/>
      <c r="AR164" s="122"/>
      <c r="AS164" s="122"/>
      <c r="AT164" s="122"/>
      <c r="AU164" s="122"/>
      <c r="AV164" s="122"/>
      <c r="AW164" s="122"/>
      <c r="AX164" s="122"/>
      <c r="AY164" s="122"/>
      <c r="AZ164" s="122"/>
      <c r="BA164" s="122"/>
      <c r="BB164" s="122"/>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c r="CB164" s="69"/>
      <c r="CC164" s="69"/>
      <c r="CD164" s="69"/>
      <c r="CE164" s="69"/>
      <c r="CF164" s="69"/>
      <c r="CG164" s="69"/>
      <c r="CH164" s="69"/>
      <c r="CI164" s="69"/>
      <c r="CJ164" s="69"/>
      <c r="CK164" s="69"/>
      <c r="CL164" s="69"/>
      <c r="CM164" s="69"/>
      <c r="CN164" s="69"/>
      <c r="CO164" s="69"/>
      <c r="CP164" s="69"/>
      <c r="CQ164" s="69"/>
      <c r="CR164" s="69"/>
      <c r="CS164" s="69"/>
      <c r="CT164" s="69"/>
      <c r="CU164" s="69"/>
      <c r="CV164" s="69"/>
      <c r="CW164" s="69"/>
    </row>
    <row r="165" spans="1:101" ht="19.5" x14ac:dyDescent="0.35">
      <c r="A165" s="122"/>
      <c r="B165" s="122"/>
      <c r="C165" s="122"/>
      <c r="D165" s="122"/>
      <c r="E165" s="122"/>
      <c r="F165" s="122"/>
      <c r="G165" s="122"/>
      <c r="H165" s="122"/>
      <c r="I165" s="122"/>
      <c r="J165" s="122"/>
      <c r="K165" s="122"/>
      <c r="L165" s="122"/>
      <c r="M165" s="122"/>
      <c r="N165" s="122"/>
      <c r="O165" s="122"/>
      <c r="P165" s="122"/>
      <c r="Q165" s="122"/>
      <c r="R165" s="122"/>
      <c r="S165" s="122"/>
      <c r="T165" s="122"/>
      <c r="U165" s="122"/>
      <c r="V165" s="122"/>
      <c r="W165" s="122"/>
      <c r="X165" s="122"/>
      <c r="Y165" s="122"/>
      <c r="Z165" s="122"/>
      <c r="AA165" s="122"/>
      <c r="AB165" s="122"/>
      <c r="AC165" s="122"/>
      <c r="AD165" s="122"/>
      <c r="AE165" s="122"/>
      <c r="AF165" s="122"/>
      <c r="AG165" s="122"/>
      <c r="AH165" s="122"/>
      <c r="AI165" s="122"/>
      <c r="AJ165" s="122"/>
      <c r="AK165" s="122"/>
      <c r="AL165" s="122"/>
      <c r="AM165" s="122"/>
      <c r="AN165" s="122"/>
      <c r="AO165" s="122"/>
      <c r="AP165" s="122"/>
      <c r="AQ165" s="122"/>
      <c r="AR165" s="122"/>
      <c r="AS165" s="122"/>
      <c r="AT165" s="122"/>
      <c r="AU165" s="122"/>
      <c r="AV165" s="122"/>
      <c r="AW165" s="122"/>
      <c r="AX165" s="122"/>
      <c r="AY165" s="122"/>
      <c r="AZ165" s="122"/>
      <c r="BA165" s="122"/>
      <c r="BB165" s="122"/>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c r="CB165" s="69"/>
      <c r="CC165" s="69"/>
      <c r="CD165" s="69"/>
      <c r="CE165" s="69"/>
      <c r="CF165" s="69"/>
      <c r="CG165" s="69"/>
      <c r="CH165" s="69"/>
      <c r="CI165" s="69"/>
      <c r="CJ165" s="69"/>
      <c r="CK165" s="69"/>
      <c r="CL165" s="69"/>
      <c r="CM165" s="69"/>
      <c r="CN165" s="69"/>
      <c r="CO165" s="69"/>
      <c r="CP165" s="69"/>
      <c r="CQ165" s="69"/>
      <c r="CR165" s="69"/>
      <c r="CS165" s="69"/>
      <c r="CT165" s="69"/>
      <c r="CU165" s="69"/>
      <c r="CV165" s="69"/>
      <c r="CW165" s="69"/>
    </row>
    <row r="166" spans="1:101" ht="19.5" x14ac:dyDescent="0.35">
      <c r="A166" s="122"/>
      <c r="B166" s="122"/>
      <c r="C166" s="122"/>
      <c r="D166" s="122"/>
      <c r="E166" s="122"/>
      <c r="F166" s="122"/>
      <c r="G166" s="122"/>
      <c r="H166" s="122"/>
      <c r="I166" s="122"/>
      <c r="J166" s="122"/>
      <c r="K166" s="122"/>
      <c r="L166" s="122"/>
      <c r="M166" s="122"/>
      <c r="N166" s="122"/>
      <c r="O166" s="122"/>
      <c r="P166" s="122"/>
      <c r="Q166" s="122"/>
      <c r="R166" s="122"/>
      <c r="S166" s="122"/>
      <c r="T166" s="122"/>
      <c r="U166" s="122"/>
      <c r="V166" s="122"/>
      <c r="W166" s="122"/>
      <c r="X166" s="122"/>
      <c r="Y166" s="122"/>
      <c r="Z166" s="122"/>
      <c r="AA166" s="122"/>
      <c r="AB166" s="122"/>
      <c r="AC166" s="122"/>
      <c r="AD166" s="122"/>
      <c r="AE166" s="122"/>
      <c r="AF166" s="122"/>
      <c r="AG166" s="122"/>
      <c r="AH166" s="122"/>
      <c r="AI166" s="122"/>
      <c r="AJ166" s="122"/>
      <c r="AK166" s="122"/>
      <c r="AL166" s="122"/>
      <c r="AM166" s="122"/>
      <c r="AN166" s="122"/>
      <c r="AO166" s="122"/>
      <c r="AP166" s="122"/>
      <c r="AQ166" s="122"/>
      <c r="AR166" s="122"/>
      <c r="AS166" s="122"/>
      <c r="AT166" s="122"/>
      <c r="AU166" s="122"/>
      <c r="AV166" s="122"/>
      <c r="AW166" s="122"/>
      <c r="AX166" s="122"/>
      <c r="AY166" s="122"/>
      <c r="AZ166" s="122"/>
      <c r="BA166" s="122"/>
      <c r="BB166" s="122"/>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c r="CB166" s="69"/>
      <c r="CC166" s="69"/>
      <c r="CD166" s="69"/>
      <c r="CE166" s="69"/>
      <c r="CF166" s="69"/>
      <c r="CG166" s="69"/>
      <c r="CH166" s="69"/>
      <c r="CI166" s="69"/>
      <c r="CJ166" s="69"/>
      <c r="CK166" s="69"/>
      <c r="CL166" s="69"/>
      <c r="CM166" s="69"/>
      <c r="CN166" s="69"/>
      <c r="CO166" s="69"/>
      <c r="CP166" s="69"/>
      <c r="CQ166" s="69"/>
      <c r="CR166" s="69"/>
      <c r="CS166" s="69"/>
      <c r="CT166" s="69"/>
      <c r="CU166" s="69"/>
      <c r="CV166" s="69"/>
      <c r="CW166" s="69"/>
    </row>
    <row r="167" spans="1:101" ht="19.5" x14ac:dyDescent="0.35">
      <c r="A167" s="122"/>
      <c r="B167" s="122"/>
      <c r="C167" s="122"/>
      <c r="D167" s="122"/>
      <c r="E167" s="122"/>
      <c r="F167" s="122"/>
      <c r="G167" s="122"/>
      <c r="H167" s="122"/>
      <c r="I167" s="122"/>
      <c r="J167" s="122"/>
      <c r="K167" s="122"/>
      <c r="L167" s="122"/>
      <c r="M167" s="122"/>
      <c r="N167" s="122"/>
      <c r="O167" s="122"/>
      <c r="P167" s="122"/>
      <c r="Q167" s="122"/>
      <c r="R167" s="122"/>
      <c r="S167" s="122"/>
      <c r="T167" s="122"/>
      <c r="U167" s="122"/>
      <c r="V167" s="122"/>
      <c r="W167" s="122"/>
      <c r="X167" s="122"/>
      <c r="Y167" s="122"/>
      <c r="Z167" s="122"/>
      <c r="AA167" s="122"/>
      <c r="AB167" s="122"/>
      <c r="AC167" s="122"/>
      <c r="AD167" s="122"/>
      <c r="AE167" s="122"/>
      <c r="AF167" s="122"/>
      <c r="AG167" s="122"/>
      <c r="AH167" s="122"/>
      <c r="AI167" s="122"/>
      <c r="AJ167" s="122"/>
      <c r="AK167" s="122"/>
      <c r="AL167" s="122"/>
      <c r="AM167" s="122"/>
      <c r="AN167" s="122"/>
      <c r="AO167" s="122"/>
      <c r="AP167" s="122"/>
      <c r="AQ167" s="122"/>
      <c r="AR167" s="122"/>
      <c r="AS167" s="122"/>
      <c r="AT167" s="122"/>
      <c r="AU167" s="122"/>
      <c r="AV167" s="122"/>
      <c r="AW167" s="122"/>
      <c r="AX167" s="122"/>
      <c r="AY167" s="122"/>
      <c r="AZ167" s="122"/>
      <c r="BA167" s="122"/>
      <c r="BB167" s="122"/>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c r="CB167" s="69"/>
      <c r="CC167" s="69"/>
      <c r="CD167" s="69"/>
      <c r="CE167" s="69"/>
      <c r="CF167" s="69"/>
      <c r="CG167" s="69"/>
      <c r="CH167" s="69"/>
      <c r="CI167" s="69"/>
      <c r="CJ167" s="69"/>
      <c r="CK167" s="69"/>
      <c r="CL167" s="69"/>
      <c r="CM167" s="69"/>
      <c r="CN167" s="69"/>
      <c r="CO167" s="69"/>
      <c r="CP167" s="69"/>
      <c r="CQ167" s="69"/>
      <c r="CR167" s="69"/>
      <c r="CS167" s="69"/>
      <c r="CT167" s="69"/>
      <c r="CU167" s="69"/>
      <c r="CV167" s="69"/>
      <c r="CW167" s="69"/>
    </row>
    <row r="168" spans="1:101" ht="19.5" x14ac:dyDescent="0.35">
      <c r="A168" s="69"/>
      <c r="B168" s="69"/>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c r="CB168" s="69"/>
      <c r="CC168" s="69"/>
      <c r="CD168" s="69"/>
      <c r="CE168" s="69"/>
      <c r="CF168" s="69"/>
      <c r="CG168" s="69"/>
      <c r="CH168" s="69"/>
      <c r="CI168" s="69"/>
      <c r="CJ168" s="69"/>
      <c r="CK168" s="69"/>
      <c r="CL168" s="69"/>
      <c r="CM168" s="69"/>
      <c r="CN168" s="69"/>
      <c r="CO168" s="69"/>
      <c r="CP168" s="69"/>
      <c r="CQ168" s="69"/>
      <c r="CR168" s="69"/>
      <c r="CS168" s="69"/>
      <c r="CT168" s="69"/>
      <c r="CU168" s="69"/>
      <c r="CV168" s="69"/>
      <c r="CW168" s="69"/>
    </row>
    <row r="169" spans="1:101" ht="19.5" x14ac:dyDescent="0.35">
      <c r="A169" s="69"/>
      <c r="B169" s="69"/>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c r="CB169" s="69"/>
      <c r="CC169" s="69"/>
      <c r="CD169" s="69"/>
      <c r="CE169" s="69"/>
      <c r="CF169" s="69"/>
      <c r="CG169" s="69"/>
      <c r="CH169" s="69"/>
      <c r="CI169" s="69"/>
      <c r="CJ169" s="69"/>
      <c r="CK169" s="69"/>
      <c r="CL169" s="69"/>
      <c r="CM169" s="69"/>
      <c r="CN169" s="69"/>
      <c r="CO169" s="69"/>
      <c r="CP169" s="69"/>
      <c r="CQ169" s="69"/>
      <c r="CR169" s="69"/>
      <c r="CS169" s="69"/>
      <c r="CT169" s="69"/>
      <c r="CU169" s="69"/>
      <c r="CV169" s="69"/>
      <c r="CW169" s="69"/>
    </row>
    <row r="170" spans="1:101" ht="19.5" x14ac:dyDescent="0.35">
      <c r="A170" s="69"/>
      <c r="B170" s="69"/>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c r="CA170" s="69"/>
      <c r="CB170" s="69"/>
      <c r="CC170" s="69"/>
      <c r="CD170" s="69"/>
      <c r="CE170" s="69"/>
      <c r="CF170" s="69"/>
      <c r="CG170" s="69"/>
      <c r="CH170" s="69"/>
      <c r="CI170" s="69"/>
      <c r="CJ170" s="69"/>
      <c r="CK170" s="69"/>
      <c r="CL170" s="69"/>
      <c r="CM170" s="69"/>
      <c r="CN170" s="69"/>
      <c r="CO170" s="69"/>
      <c r="CP170" s="69"/>
      <c r="CQ170" s="69"/>
      <c r="CR170" s="69"/>
      <c r="CS170" s="69"/>
      <c r="CT170" s="69"/>
      <c r="CU170" s="69"/>
      <c r="CV170" s="69"/>
      <c r="CW170" s="69"/>
    </row>
    <row r="171" spans="1:101" ht="19.5" x14ac:dyDescent="0.35">
      <c r="A171" s="69"/>
      <c r="B171" s="69"/>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c r="CB171" s="69"/>
      <c r="CC171" s="69"/>
      <c r="CD171" s="69"/>
      <c r="CE171" s="69"/>
      <c r="CF171" s="69"/>
      <c r="CG171" s="69"/>
      <c r="CH171" s="69"/>
      <c r="CI171" s="69"/>
      <c r="CJ171" s="69"/>
      <c r="CK171" s="69"/>
      <c r="CL171" s="69"/>
      <c r="CM171" s="69"/>
      <c r="CN171" s="69"/>
      <c r="CO171" s="69"/>
      <c r="CP171" s="69"/>
      <c r="CQ171" s="69"/>
      <c r="CR171" s="69"/>
      <c r="CS171" s="69"/>
      <c r="CT171" s="69"/>
      <c r="CU171" s="69"/>
      <c r="CV171" s="69"/>
      <c r="CW171" s="69"/>
    </row>
    <row r="172" spans="1:101" ht="19.5" x14ac:dyDescent="0.35">
      <c r="A172" s="69"/>
      <c r="B172" s="69"/>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c r="CB172" s="69"/>
      <c r="CC172" s="69"/>
      <c r="CD172" s="69"/>
      <c r="CE172" s="69"/>
      <c r="CF172" s="69"/>
      <c r="CG172" s="69"/>
      <c r="CH172" s="69"/>
      <c r="CI172" s="69"/>
      <c r="CJ172" s="69"/>
      <c r="CK172" s="69"/>
      <c r="CL172" s="69"/>
      <c r="CM172" s="69"/>
      <c r="CN172" s="69"/>
      <c r="CO172" s="69"/>
      <c r="CP172" s="69"/>
      <c r="CQ172" s="69"/>
      <c r="CR172" s="69"/>
      <c r="CS172" s="69"/>
      <c r="CT172" s="69"/>
      <c r="CU172" s="69"/>
      <c r="CV172" s="69"/>
      <c r="CW172" s="69"/>
    </row>
    <row r="173" spans="1:101" ht="19.5" x14ac:dyDescent="0.35">
      <c r="A173" s="69"/>
      <c r="B173" s="69"/>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c r="CB173" s="69"/>
      <c r="CC173" s="69"/>
      <c r="CD173" s="69"/>
      <c r="CE173" s="69"/>
      <c r="CF173" s="69"/>
      <c r="CG173" s="69"/>
      <c r="CH173" s="69"/>
      <c r="CI173" s="69"/>
      <c r="CJ173" s="69"/>
      <c r="CK173" s="69"/>
      <c r="CL173" s="69"/>
      <c r="CM173" s="69"/>
      <c r="CN173" s="69"/>
      <c r="CO173" s="69"/>
      <c r="CP173" s="69"/>
      <c r="CQ173" s="69"/>
      <c r="CR173" s="69"/>
      <c r="CS173" s="69"/>
      <c r="CT173" s="69"/>
      <c r="CU173" s="69"/>
      <c r="CV173" s="69"/>
      <c r="CW173" s="69"/>
    </row>
    <row r="174" spans="1:101" ht="19.5" x14ac:dyDescent="0.35">
      <c r="A174" s="69"/>
      <c r="B174" s="69"/>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c r="CB174" s="69"/>
      <c r="CC174" s="69"/>
      <c r="CD174" s="69"/>
      <c r="CE174" s="69"/>
      <c r="CF174" s="69"/>
      <c r="CG174" s="69"/>
      <c r="CH174" s="69"/>
      <c r="CI174" s="69"/>
      <c r="CJ174" s="69"/>
      <c r="CK174" s="69"/>
      <c r="CL174" s="69"/>
      <c r="CM174" s="69"/>
      <c r="CN174" s="69"/>
      <c r="CO174" s="69"/>
      <c r="CP174" s="69"/>
      <c r="CQ174" s="69"/>
      <c r="CR174" s="69"/>
      <c r="CS174" s="69"/>
      <c r="CT174" s="69"/>
      <c r="CU174" s="69"/>
      <c r="CV174" s="69"/>
      <c r="CW174" s="69"/>
    </row>
    <row r="175" spans="1:101" ht="19.5" x14ac:dyDescent="0.35">
      <c r="A175" s="69"/>
      <c r="B175" s="69"/>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c r="CB175" s="69"/>
      <c r="CC175" s="69"/>
      <c r="CD175" s="69"/>
      <c r="CE175" s="69"/>
      <c r="CF175" s="69"/>
      <c r="CG175" s="69"/>
      <c r="CH175" s="69"/>
      <c r="CI175" s="69"/>
      <c r="CJ175" s="69"/>
      <c r="CK175" s="69"/>
      <c r="CL175" s="69"/>
      <c r="CM175" s="69"/>
      <c r="CN175" s="69"/>
      <c r="CO175" s="69"/>
      <c r="CP175" s="69"/>
      <c r="CQ175" s="69"/>
      <c r="CR175" s="69"/>
      <c r="CS175" s="69"/>
      <c r="CT175" s="69"/>
      <c r="CU175" s="69"/>
      <c r="CV175" s="69"/>
      <c r="CW175" s="69"/>
    </row>
    <row r="176" spans="1:101" ht="19.5" x14ac:dyDescent="0.35">
      <c r="A176" s="69"/>
      <c r="B176" s="69"/>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c r="CB176" s="69"/>
      <c r="CC176" s="69"/>
      <c r="CD176" s="69"/>
      <c r="CE176" s="69"/>
      <c r="CF176" s="69"/>
      <c r="CG176" s="69"/>
      <c r="CH176" s="69"/>
      <c r="CI176" s="69"/>
      <c r="CJ176" s="69"/>
      <c r="CK176" s="69"/>
      <c r="CL176" s="69"/>
      <c r="CM176" s="69"/>
      <c r="CN176" s="69"/>
      <c r="CO176" s="69"/>
      <c r="CP176" s="69"/>
      <c r="CQ176" s="69"/>
      <c r="CR176" s="69"/>
      <c r="CS176" s="69"/>
      <c r="CT176" s="69"/>
      <c r="CU176" s="69"/>
      <c r="CV176" s="69"/>
      <c r="CW176" s="69"/>
    </row>
    <row r="177" spans="1:101" ht="19.5" x14ac:dyDescent="0.35">
      <c r="A177" s="69"/>
      <c r="B177" s="69"/>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c r="CB177" s="69"/>
      <c r="CC177" s="69"/>
      <c r="CD177" s="69"/>
      <c r="CE177" s="69"/>
      <c r="CF177" s="69"/>
      <c r="CG177" s="69"/>
      <c r="CH177" s="69"/>
      <c r="CI177" s="69"/>
      <c r="CJ177" s="69"/>
      <c r="CK177" s="69"/>
      <c r="CL177" s="69"/>
      <c r="CM177" s="69"/>
      <c r="CN177" s="69"/>
      <c r="CO177" s="69"/>
      <c r="CP177" s="69"/>
      <c r="CQ177" s="69"/>
      <c r="CR177" s="69"/>
      <c r="CS177" s="69"/>
      <c r="CT177" s="69"/>
      <c r="CU177" s="69"/>
      <c r="CV177" s="69"/>
      <c r="CW177" s="69"/>
    </row>
    <row r="178" spans="1:101" ht="19.5" x14ac:dyDescent="0.35">
      <c r="A178" s="69"/>
      <c r="B178" s="69"/>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c r="CB178" s="69"/>
      <c r="CC178" s="69"/>
      <c r="CD178" s="69"/>
      <c r="CE178" s="69"/>
      <c r="CF178" s="69"/>
      <c r="CG178" s="69"/>
      <c r="CH178" s="69"/>
      <c r="CI178" s="69"/>
      <c r="CJ178" s="69"/>
      <c r="CK178" s="69"/>
      <c r="CL178" s="69"/>
      <c r="CM178" s="69"/>
      <c r="CN178" s="69"/>
      <c r="CO178" s="69"/>
      <c r="CP178" s="69"/>
      <c r="CQ178" s="69"/>
      <c r="CR178" s="69"/>
      <c r="CS178" s="69"/>
      <c r="CT178" s="69"/>
      <c r="CU178" s="69"/>
      <c r="CV178" s="69"/>
      <c r="CW178" s="69"/>
    </row>
    <row r="179" spans="1:101" ht="19.5" x14ac:dyDescent="0.35">
      <c r="A179" s="69"/>
      <c r="B179" s="69"/>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c r="BV179" s="69"/>
      <c r="BW179" s="69"/>
      <c r="BX179" s="69"/>
      <c r="BY179" s="69"/>
      <c r="BZ179" s="69"/>
      <c r="CA179" s="69"/>
      <c r="CB179" s="69"/>
      <c r="CC179" s="69"/>
      <c r="CD179" s="69"/>
      <c r="CE179" s="69"/>
      <c r="CF179" s="69"/>
      <c r="CG179" s="69"/>
      <c r="CH179" s="69"/>
      <c r="CI179" s="69"/>
      <c r="CJ179" s="69"/>
      <c r="CK179" s="69"/>
      <c r="CL179" s="69"/>
      <c r="CM179" s="69"/>
      <c r="CN179" s="69"/>
      <c r="CO179" s="69"/>
      <c r="CP179" s="69"/>
      <c r="CQ179" s="69"/>
      <c r="CR179" s="69"/>
      <c r="CS179" s="69"/>
      <c r="CT179" s="69"/>
      <c r="CU179" s="69"/>
      <c r="CV179" s="69"/>
      <c r="CW179" s="69"/>
    </row>
    <row r="180" spans="1:101" ht="19.5" x14ac:dyDescent="0.35">
      <c r="A180" s="69"/>
      <c r="B180" s="69"/>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c r="CB180" s="69"/>
      <c r="CC180" s="69"/>
      <c r="CD180" s="69"/>
      <c r="CE180" s="69"/>
      <c r="CF180" s="69"/>
      <c r="CG180" s="69"/>
      <c r="CH180" s="69"/>
      <c r="CI180" s="69"/>
      <c r="CJ180" s="69"/>
      <c r="CK180" s="69"/>
      <c r="CL180" s="69"/>
      <c r="CM180" s="69"/>
      <c r="CN180" s="69"/>
      <c r="CO180" s="69"/>
      <c r="CP180" s="69"/>
      <c r="CQ180" s="69"/>
      <c r="CR180" s="69"/>
      <c r="CS180" s="69"/>
      <c r="CT180" s="69"/>
      <c r="CU180" s="69"/>
      <c r="CV180" s="69"/>
      <c r="CW180" s="69"/>
    </row>
    <row r="181" spans="1:101" ht="19.5" x14ac:dyDescent="0.35">
      <c r="A181" s="69"/>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c r="BV181" s="69"/>
      <c r="BW181" s="69"/>
      <c r="BX181" s="69"/>
      <c r="BY181" s="69"/>
      <c r="BZ181" s="69"/>
      <c r="CA181" s="69"/>
      <c r="CB181" s="69"/>
      <c r="CC181" s="69"/>
      <c r="CD181" s="69"/>
      <c r="CE181" s="69"/>
      <c r="CF181" s="69"/>
      <c r="CG181" s="69"/>
      <c r="CH181" s="69"/>
      <c r="CI181" s="69"/>
      <c r="CJ181" s="69"/>
      <c r="CK181" s="69"/>
      <c r="CL181" s="69"/>
      <c r="CM181" s="69"/>
      <c r="CN181" s="69"/>
      <c r="CO181" s="69"/>
      <c r="CP181" s="69"/>
      <c r="CQ181" s="69"/>
      <c r="CR181" s="69"/>
      <c r="CS181" s="69"/>
      <c r="CT181" s="69"/>
      <c r="CU181" s="69"/>
      <c r="CV181" s="69"/>
      <c r="CW181" s="69"/>
    </row>
    <row r="182" spans="1:101" ht="19.5" x14ac:dyDescent="0.35">
      <c r="A182" s="69"/>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c r="CB182" s="69"/>
      <c r="CC182" s="69"/>
      <c r="CD182" s="69"/>
      <c r="CE182" s="69"/>
      <c r="CF182" s="69"/>
      <c r="CG182" s="69"/>
      <c r="CH182" s="69"/>
      <c r="CI182" s="69"/>
      <c r="CJ182" s="69"/>
      <c r="CK182" s="69"/>
      <c r="CL182" s="69"/>
      <c r="CM182" s="69"/>
      <c r="CN182" s="69"/>
      <c r="CO182" s="69"/>
      <c r="CP182" s="69"/>
      <c r="CQ182" s="69"/>
      <c r="CR182" s="69"/>
      <c r="CS182" s="69"/>
      <c r="CT182" s="69"/>
      <c r="CU182" s="69"/>
      <c r="CV182" s="69"/>
      <c r="CW182" s="69"/>
    </row>
    <row r="183" spans="1:101" ht="19.5" x14ac:dyDescent="0.35">
      <c r="A183" s="69"/>
      <c r="B183" s="69"/>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9"/>
      <c r="BR183" s="69"/>
      <c r="BS183" s="69"/>
      <c r="BT183" s="69"/>
      <c r="BU183" s="69"/>
      <c r="BV183" s="69"/>
      <c r="BW183" s="69"/>
      <c r="BX183" s="69"/>
      <c r="BY183" s="69"/>
      <c r="BZ183" s="69"/>
      <c r="CA183" s="69"/>
      <c r="CB183" s="69"/>
      <c r="CC183" s="69"/>
      <c r="CD183" s="69"/>
      <c r="CE183" s="69"/>
      <c r="CF183" s="69"/>
      <c r="CG183" s="69"/>
      <c r="CH183" s="69"/>
      <c r="CI183" s="69"/>
      <c r="CJ183" s="69"/>
      <c r="CK183" s="69"/>
      <c r="CL183" s="69"/>
      <c r="CM183" s="69"/>
      <c r="CN183" s="69"/>
      <c r="CO183" s="69"/>
      <c r="CP183" s="69"/>
      <c r="CQ183" s="69"/>
      <c r="CR183" s="69"/>
      <c r="CS183" s="69"/>
      <c r="CT183" s="69"/>
      <c r="CU183" s="69"/>
      <c r="CV183" s="69"/>
      <c r="CW183" s="69"/>
    </row>
    <row r="184" spans="1:101" ht="19.5" x14ac:dyDescent="0.35">
      <c r="A184" s="69"/>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c r="CB184" s="69"/>
      <c r="CC184" s="69"/>
      <c r="CD184" s="69"/>
      <c r="CE184" s="69"/>
      <c r="CF184" s="69"/>
      <c r="CG184" s="69"/>
      <c r="CH184" s="69"/>
      <c r="CI184" s="69"/>
      <c r="CJ184" s="69"/>
      <c r="CK184" s="69"/>
      <c r="CL184" s="69"/>
      <c r="CM184" s="69"/>
      <c r="CN184" s="69"/>
      <c r="CO184" s="69"/>
      <c r="CP184" s="69"/>
      <c r="CQ184" s="69"/>
      <c r="CR184" s="69"/>
      <c r="CS184" s="69"/>
      <c r="CT184" s="69"/>
      <c r="CU184" s="69"/>
      <c r="CV184" s="69"/>
      <c r="CW184" s="69"/>
    </row>
    <row r="185" spans="1:101" ht="19.5" x14ac:dyDescent="0.35">
      <c r="A185" s="69"/>
      <c r="B185" s="69"/>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c r="CB185" s="69"/>
      <c r="CC185" s="69"/>
      <c r="CD185" s="69"/>
      <c r="CE185" s="69"/>
      <c r="CF185" s="69"/>
      <c r="CG185" s="69"/>
      <c r="CH185" s="69"/>
      <c r="CI185" s="69"/>
      <c r="CJ185" s="69"/>
      <c r="CK185" s="69"/>
      <c r="CL185" s="69"/>
      <c r="CM185" s="69"/>
      <c r="CN185" s="69"/>
      <c r="CO185" s="69"/>
      <c r="CP185" s="69"/>
      <c r="CQ185" s="69"/>
      <c r="CR185" s="69"/>
      <c r="CS185" s="69"/>
      <c r="CT185" s="69"/>
      <c r="CU185" s="69"/>
      <c r="CV185" s="69"/>
      <c r="CW185" s="69"/>
    </row>
    <row r="186" spans="1:101" ht="19.5" x14ac:dyDescent="0.35">
      <c r="A186" s="69"/>
      <c r="B186" s="69"/>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c r="CB186" s="69"/>
      <c r="CC186" s="69"/>
      <c r="CD186" s="69"/>
      <c r="CE186" s="69"/>
      <c r="CF186" s="69"/>
      <c r="CG186" s="69"/>
      <c r="CH186" s="69"/>
      <c r="CI186" s="69"/>
      <c r="CJ186" s="69"/>
      <c r="CK186" s="69"/>
      <c r="CL186" s="69"/>
      <c r="CM186" s="69"/>
      <c r="CN186" s="69"/>
      <c r="CO186" s="69"/>
      <c r="CP186" s="69"/>
      <c r="CQ186" s="69"/>
      <c r="CR186" s="69"/>
      <c r="CS186" s="69"/>
      <c r="CT186" s="69"/>
      <c r="CU186" s="69"/>
      <c r="CV186" s="69"/>
      <c r="CW186" s="69"/>
    </row>
    <row r="187" spans="1:101" ht="19.5" x14ac:dyDescent="0.35">
      <c r="A187" s="69"/>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c r="CB187" s="69"/>
      <c r="CC187" s="69"/>
      <c r="CD187" s="69"/>
      <c r="CE187" s="69"/>
      <c r="CF187" s="69"/>
      <c r="CG187" s="69"/>
      <c r="CH187" s="69"/>
      <c r="CI187" s="69"/>
      <c r="CJ187" s="69"/>
      <c r="CK187" s="69"/>
      <c r="CL187" s="69"/>
      <c r="CM187" s="69"/>
      <c r="CN187" s="69"/>
      <c r="CO187" s="69"/>
      <c r="CP187" s="69"/>
      <c r="CQ187" s="69"/>
      <c r="CR187" s="69"/>
      <c r="CS187" s="69"/>
      <c r="CT187" s="69"/>
      <c r="CU187" s="69"/>
      <c r="CV187" s="69"/>
      <c r="CW187" s="69"/>
    </row>
    <row r="188" spans="1:101" ht="19.5" x14ac:dyDescent="0.35">
      <c r="A188" s="69"/>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c r="CB188" s="69"/>
      <c r="CC188" s="69"/>
      <c r="CD188" s="69"/>
      <c r="CE188" s="69"/>
      <c r="CF188" s="69"/>
      <c r="CG188" s="69"/>
      <c r="CH188" s="69"/>
      <c r="CI188" s="69"/>
      <c r="CJ188" s="69"/>
      <c r="CK188" s="69"/>
      <c r="CL188" s="69"/>
      <c r="CM188" s="69"/>
      <c r="CN188" s="69"/>
      <c r="CO188" s="69"/>
      <c r="CP188" s="69"/>
      <c r="CQ188" s="69"/>
      <c r="CR188" s="69"/>
      <c r="CS188" s="69"/>
      <c r="CT188" s="69"/>
      <c r="CU188" s="69"/>
      <c r="CV188" s="69"/>
      <c r="CW188" s="69"/>
    </row>
    <row r="189" spans="1:101" ht="19.5" x14ac:dyDescent="0.35">
      <c r="A189" s="69"/>
      <c r="B189" s="69"/>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c r="CB189" s="69"/>
      <c r="CC189" s="69"/>
      <c r="CD189" s="69"/>
      <c r="CE189" s="69"/>
      <c r="CF189" s="69"/>
      <c r="CG189" s="69"/>
      <c r="CH189" s="69"/>
      <c r="CI189" s="69"/>
      <c r="CJ189" s="69"/>
      <c r="CK189" s="69"/>
      <c r="CL189" s="69"/>
      <c r="CM189" s="69"/>
      <c r="CN189" s="69"/>
      <c r="CO189" s="69"/>
      <c r="CP189" s="69"/>
      <c r="CQ189" s="69"/>
      <c r="CR189" s="69"/>
      <c r="CS189" s="69"/>
      <c r="CT189" s="69"/>
      <c r="CU189" s="69"/>
      <c r="CV189" s="69"/>
      <c r="CW189" s="69"/>
    </row>
    <row r="190" spans="1:101" ht="19.5" x14ac:dyDescent="0.35">
      <c r="A190" s="69"/>
      <c r="B190" s="69"/>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9"/>
      <c r="BR190" s="69"/>
      <c r="BS190" s="69"/>
      <c r="BT190" s="69"/>
      <c r="BU190" s="69"/>
      <c r="BV190" s="69"/>
      <c r="BW190" s="69"/>
      <c r="BX190" s="69"/>
      <c r="BY190" s="69"/>
      <c r="BZ190" s="69"/>
      <c r="CA190" s="69"/>
      <c r="CB190" s="69"/>
      <c r="CC190" s="69"/>
      <c r="CD190" s="69"/>
      <c r="CE190" s="69"/>
      <c r="CF190" s="69"/>
      <c r="CG190" s="69"/>
      <c r="CH190" s="69"/>
      <c r="CI190" s="69"/>
      <c r="CJ190" s="69"/>
      <c r="CK190" s="69"/>
      <c r="CL190" s="69"/>
      <c r="CM190" s="69"/>
      <c r="CN190" s="69"/>
      <c r="CO190" s="69"/>
      <c r="CP190" s="69"/>
      <c r="CQ190" s="69"/>
      <c r="CR190" s="69"/>
      <c r="CS190" s="69"/>
      <c r="CT190" s="69"/>
      <c r="CU190" s="69"/>
      <c r="CV190" s="69"/>
      <c r="CW190" s="69"/>
    </row>
    <row r="191" spans="1:101" ht="19.5" x14ac:dyDescent="0.35">
      <c r="A191" s="69"/>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c r="CB191" s="69"/>
      <c r="CC191" s="69"/>
      <c r="CD191" s="69"/>
      <c r="CE191" s="69"/>
      <c r="CF191" s="69"/>
      <c r="CG191" s="69"/>
      <c r="CH191" s="69"/>
      <c r="CI191" s="69"/>
      <c r="CJ191" s="69"/>
      <c r="CK191" s="69"/>
      <c r="CL191" s="69"/>
      <c r="CM191" s="69"/>
      <c r="CN191" s="69"/>
      <c r="CO191" s="69"/>
      <c r="CP191" s="69"/>
      <c r="CQ191" s="69"/>
      <c r="CR191" s="69"/>
      <c r="CS191" s="69"/>
      <c r="CT191" s="69"/>
      <c r="CU191" s="69"/>
      <c r="CV191" s="69"/>
      <c r="CW191" s="69"/>
    </row>
    <row r="192" spans="1:101" ht="19.5" x14ac:dyDescent="0.35">
      <c r="A192" s="69"/>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c r="CB192" s="69"/>
      <c r="CC192" s="69"/>
      <c r="CD192" s="69"/>
      <c r="CE192" s="69"/>
      <c r="CF192" s="69"/>
      <c r="CG192" s="69"/>
      <c r="CH192" s="69"/>
      <c r="CI192" s="69"/>
      <c r="CJ192" s="69"/>
      <c r="CK192" s="69"/>
      <c r="CL192" s="69"/>
      <c r="CM192" s="69"/>
      <c r="CN192" s="69"/>
      <c r="CO192" s="69"/>
      <c r="CP192" s="69"/>
      <c r="CQ192" s="69"/>
      <c r="CR192" s="69"/>
      <c r="CS192" s="69"/>
      <c r="CT192" s="69"/>
      <c r="CU192" s="69"/>
      <c r="CV192" s="69"/>
      <c r="CW192" s="69"/>
    </row>
    <row r="193" spans="1:101" ht="19.5" x14ac:dyDescent="0.35">
      <c r="A193" s="69"/>
      <c r="B193" s="69"/>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c r="CB193" s="69"/>
      <c r="CC193" s="69"/>
      <c r="CD193" s="69"/>
      <c r="CE193" s="69"/>
      <c r="CF193" s="69"/>
      <c r="CG193" s="69"/>
      <c r="CH193" s="69"/>
      <c r="CI193" s="69"/>
      <c r="CJ193" s="69"/>
      <c r="CK193" s="69"/>
      <c r="CL193" s="69"/>
      <c r="CM193" s="69"/>
      <c r="CN193" s="69"/>
      <c r="CO193" s="69"/>
      <c r="CP193" s="69"/>
      <c r="CQ193" s="69"/>
      <c r="CR193" s="69"/>
      <c r="CS193" s="69"/>
      <c r="CT193" s="69"/>
      <c r="CU193" s="69"/>
      <c r="CV193" s="69"/>
      <c r="CW193" s="69"/>
    </row>
    <row r="194" spans="1:101" ht="19.5" x14ac:dyDescent="0.35">
      <c r="A194" s="69"/>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69"/>
      <c r="BU194" s="69"/>
      <c r="BV194" s="69"/>
      <c r="BW194" s="69"/>
      <c r="BX194" s="69"/>
      <c r="BY194" s="69"/>
      <c r="BZ194" s="69"/>
      <c r="CA194" s="69"/>
      <c r="CB194" s="69"/>
      <c r="CC194" s="69"/>
      <c r="CD194" s="69"/>
      <c r="CE194" s="69"/>
      <c r="CF194" s="69"/>
      <c r="CG194" s="69"/>
      <c r="CH194" s="69"/>
      <c r="CI194" s="69"/>
      <c r="CJ194" s="69"/>
      <c r="CK194" s="69"/>
      <c r="CL194" s="69"/>
      <c r="CM194" s="69"/>
      <c r="CN194" s="69"/>
      <c r="CO194" s="69"/>
      <c r="CP194" s="69"/>
      <c r="CQ194" s="69"/>
      <c r="CR194" s="69"/>
      <c r="CS194" s="69"/>
      <c r="CT194" s="69"/>
      <c r="CU194" s="69"/>
      <c r="CV194" s="69"/>
      <c r="CW194" s="69"/>
    </row>
    <row r="195" spans="1:101" ht="19.5" x14ac:dyDescent="0.35">
      <c r="A195" s="69"/>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c r="CB195" s="69"/>
      <c r="CC195" s="69"/>
      <c r="CD195" s="69"/>
      <c r="CE195" s="69"/>
      <c r="CF195" s="69"/>
      <c r="CG195" s="69"/>
      <c r="CH195" s="69"/>
      <c r="CI195" s="69"/>
      <c r="CJ195" s="69"/>
      <c r="CK195" s="69"/>
      <c r="CL195" s="69"/>
      <c r="CM195" s="69"/>
      <c r="CN195" s="69"/>
      <c r="CO195" s="69"/>
      <c r="CP195" s="69"/>
      <c r="CQ195" s="69"/>
      <c r="CR195" s="69"/>
      <c r="CS195" s="69"/>
      <c r="CT195" s="69"/>
      <c r="CU195" s="69"/>
      <c r="CV195" s="69"/>
      <c r="CW195" s="69"/>
    </row>
    <row r="196" spans="1:101" ht="19.5" x14ac:dyDescent="0.35">
      <c r="A196" s="69"/>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c r="CB196" s="69"/>
      <c r="CC196" s="69"/>
      <c r="CD196" s="69"/>
      <c r="CE196" s="69"/>
      <c r="CF196" s="69"/>
      <c r="CG196" s="69"/>
      <c r="CH196" s="69"/>
      <c r="CI196" s="69"/>
      <c r="CJ196" s="69"/>
      <c r="CK196" s="69"/>
      <c r="CL196" s="69"/>
      <c r="CM196" s="69"/>
      <c r="CN196" s="69"/>
      <c r="CO196" s="69"/>
      <c r="CP196" s="69"/>
      <c r="CQ196" s="69"/>
      <c r="CR196" s="69"/>
      <c r="CS196" s="69"/>
      <c r="CT196" s="69"/>
      <c r="CU196" s="69"/>
      <c r="CV196" s="69"/>
      <c r="CW196" s="69"/>
    </row>
    <row r="197" spans="1:101" ht="19.5" x14ac:dyDescent="0.35">
      <c r="A197" s="69"/>
      <c r="B197" s="69"/>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c r="CB197" s="69"/>
      <c r="CC197" s="69"/>
      <c r="CD197" s="69"/>
      <c r="CE197" s="69"/>
      <c r="CF197" s="69"/>
      <c r="CG197" s="69"/>
      <c r="CH197" s="69"/>
      <c r="CI197" s="69"/>
      <c r="CJ197" s="69"/>
      <c r="CK197" s="69"/>
      <c r="CL197" s="69"/>
      <c r="CM197" s="69"/>
      <c r="CN197" s="69"/>
      <c r="CO197" s="69"/>
      <c r="CP197" s="69"/>
      <c r="CQ197" s="69"/>
      <c r="CR197" s="69"/>
      <c r="CS197" s="69"/>
      <c r="CT197" s="69"/>
      <c r="CU197" s="69"/>
      <c r="CV197" s="69"/>
      <c r="CW197" s="69"/>
    </row>
    <row r="198" spans="1:101" ht="19.5" x14ac:dyDescent="0.35">
      <c r="A198" s="69"/>
      <c r="B198" s="69"/>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c r="CB198" s="69"/>
      <c r="CC198" s="69"/>
      <c r="CD198" s="69"/>
      <c r="CE198" s="69"/>
      <c r="CF198" s="69"/>
      <c r="CG198" s="69"/>
      <c r="CH198" s="69"/>
      <c r="CI198" s="69"/>
      <c r="CJ198" s="69"/>
      <c r="CK198" s="69"/>
      <c r="CL198" s="69"/>
      <c r="CM198" s="69"/>
      <c r="CN198" s="69"/>
      <c r="CO198" s="69"/>
      <c r="CP198" s="69"/>
      <c r="CQ198" s="69"/>
      <c r="CR198" s="69"/>
      <c r="CS198" s="69"/>
      <c r="CT198" s="69"/>
      <c r="CU198" s="69"/>
      <c r="CV198" s="69"/>
      <c r="CW198" s="69"/>
    </row>
    <row r="199" spans="1:101" ht="19.5" x14ac:dyDescent="0.35">
      <c r="A199" s="69"/>
      <c r="B199" s="69"/>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9"/>
      <c r="BR199" s="69"/>
      <c r="BS199" s="69"/>
      <c r="BT199" s="69"/>
      <c r="BU199" s="69"/>
      <c r="BV199" s="69"/>
      <c r="BW199" s="69"/>
      <c r="BX199" s="69"/>
      <c r="BY199" s="69"/>
      <c r="BZ199" s="69"/>
      <c r="CA199" s="69"/>
      <c r="CB199" s="69"/>
      <c r="CC199" s="69"/>
      <c r="CD199" s="69"/>
      <c r="CE199" s="69"/>
      <c r="CF199" s="69"/>
      <c r="CG199" s="69"/>
      <c r="CH199" s="69"/>
      <c r="CI199" s="69"/>
      <c r="CJ199" s="69"/>
      <c r="CK199" s="69"/>
      <c r="CL199" s="69"/>
      <c r="CM199" s="69"/>
      <c r="CN199" s="69"/>
      <c r="CO199" s="69"/>
      <c r="CP199" s="69"/>
      <c r="CQ199" s="69"/>
      <c r="CR199" s="69"/>
      <c r="CS199" s="69"/>
      <c r="CT199" s="69"/>
      <c r="CU199" s="69"/>
      <c r="CV199" s="69"/>
      <c r="CW199" s="69"/>
    </row>
    <row r="200" spans="1:101" ht="19.5" x14ac:dyDescent="0.35">
      <c r="A200" s="69"/>
      <c r="B200" s="69"/>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c r="BV200" s="69"/>
      <c r="BW200" s="69"/>
      <c r="BX200" s="69"/>
      <c r="BY200" s="69"/>
      <c r="BZ200" s="69"/>
      <c r="CA200" s="69"/>
      <c r="CB200" s="69"/>
      <c r="CC200" s="69"/>
      <c r="CD200" s="69"/>
      <c r="CE200" s="69"/>
      <c r="CF200" s="69"/>
      <c r="CG200" s="69"/>
      <c r="CH200" s="69"/>
      <c r="CI200" s="69"/>
      <c r="CJ200" s="69"/>
      <c r="CK200" s="69"/>
      <c r="CL200" s="69"/>
      <c r="CM200" s="69"/>
      <c r="CN200" s="69"/>
      <c r="CO200" s="69"/>
      <c r="CP200" s="69"/>
      <c r="CQ200" s="69"/>
      <c r="CR200" s="69"/>
      <c r="CS200" s="69"/>
      <c r="CT200" s="69"/>
      <c r="CU200" s="69"/>
      <c r="CV200" s="69"/>
      <c r="CW200" s="69"/>
    </row>
    <row r="201" spans="1:101" ht="19.5" x14ac:dyDescent="0.35">
      <c r="A201" s="69"/>
      <c r="B201" s="69"/>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c r="CB201" s="69"/>
      <c r="CC201" s="69"/>
      <c r="CD201" s="69"/>
      <c r="CE201" s="69"/>
      <c r="CF201" s="69"/>
      <c r="CG201" s="69"/>
      <c r="CH201" s="69"/>
      <c r="CI201" s="69"/>
      <c r="CJ201" s="69"/>
      <c r="CK201" s="69"/>
      <c r="CL201" s="69"/>
      <c r="CM201" s="69"/>
      <c r="CN201" s="69"/>
      <c r="CO201" s="69"/>
      <c r="CP201" s="69"/>
      <c r="CQ201" s="69"/>
      <c r="CR201" s="69"/>
      <c r="CS201" s="69"/>
      <c r="CT201" s="69"/>
      <c r="CU201" s="69"/>
      <c r="CV201" s="69"/>
      <c r="CW201" s="69"/>
    </row>
    <row r="202" spans="1:101" ht="19.5" x14ac:dyDescent="0.35">
      <c r="A202" s="69"/>
      <c r="B202" s="69"/>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c r="CB202" s="69"/>
      <c r="CC202" s="69"/>
      <c r="CD202" s="69"/>
      <c r="CE202" s="69"/>
      <c r="CF202" s="69"/>
      <c r="CG202" s="69"/>
      <c r="CH202" s="69"/>
      <c r="CI202" s="69"/>
      <c r="CJ202" s="69"/>
      <c r="CK202" s="69"/>
      <c r="CL202" s="69"/>
      <c r="CM202" s="69"/>
      <c r="CN202" s="69"/>
      <c r="CO202" s="69"/>
      <c r="CP202" s="69"/>
      <c r="CQ202" s="69"/>
      <c r="CR202" s="69"/>
      <c r="CS202" s="69"/>
      <c r="CT202" s="69"/>
      <c r="CU202" s="69"/>
      <c r="CV202" s="69"/>
      <c r="CW202" s="69"/>
    </row>
    <row r="203" spans="1:101" ht="19.5" x14ac:dyDescent="0.35">
      <c r="A203" s="69"/>
      <c r="B203" s="69"/>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69"/>
      <c r="BW203" s="69"/>
      <c r="BX203" s="69"/>
      <c r="BY203" s="69"/>
      <c r="BZ203" s="69"/>
      <c r="CA203" s="69"/>
      <c r="CB203" s="69"/>
      <c r="CC203" s="69"/>
      <c r="CD203" s="69"/>
      <c r="CE203" s="69"/>
      <c r="CF203" s="69"/>
      <c r="CG203" s="69"/>
      <c r="CH203" s="69"/>
      <c r="CI203" s="69"/>
      <c r="CJ203" s="69"/>
      <c r="CK203" s="69"/>
      <c r="CL203" s="69"/>
      <c r="CM203" s="69"/>
      <c r="CN203" s="69"/>
      <c r="CO203" s="69"/>
      <c r="CP203" s="69"/>
      <c r="CQ203" s="69"/>
      <c r="CR203" s="69"/>
      <c r="CS203" s="69"/>
      <c r="CT203" s="69"/>
      <c r="CU203" s="69"/>
      <c r="CV203" s="69"/>
      <c r="CW203" s="69"/>
    </row>
    <row r="204" spans="1:101" ht="19.5" x14ac:dyDescent="0.35">
      <c r="A204" s="69"/>
      <c r="B204" s="69"/>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69"/>
      <c r="BW204" s="69"/>
      <c r="BX204" s="69"/>
      <c r="BY204" s="69"/>
      <c r="BZ204" s="69"/>
      <c r="CA204" s="69"/>
      <c r="CB204" s="69"/>
      <c r="CC204" s="69"/>
      <c r="CD204" s="69"/>
      <c r="CE204" s="69"/>
      <c r="CF204" s="69"/>
      <c r="CG204" s="69"/>
      <c r="CH204" s="69"/>
      <c r="CI204" s="69"/>
      <c r="CJ204" s="69"/>
      <c r="CK204" s="69"/>
      <c r="CL204" s="69"/>
      <c r="CM204" s="69"/>
      <c r="CN204" s="69"/>
      <c r="CO204" s="69"/>
      <c r="CP204" s="69"/>
      <c r="CQ204" s="69"/>
      <c r="CR204" s="69"/>
      <c r="CS204" s="69"/>
      <c r="CT204" s="69"/>
      <c r="CU204" s="69"/>
      <c r="CV204" s="69"/>
      <c r="CW204" s="69"/>
    </row>
    <row r="205" spans="1:101" ht="19.5" x14ac:dyDescent="0.35">
      <c r="A205" s="69"/>
      <c r="B205" s="69"/>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69"/>
      <c r="BW205" s="69"/>
      <c r="BX205" s="69"/>
      <c r="BY205" s="69"/>
      <c r="BZ205" s="69"/>
      <c r="CA205" s="69"/>
      <c r="CB205" s="69"/>
      <c r="CC205" s="69"/>
      <c r="CD205" s="69"/>
      <c r="CE205" s="69"/>
      <c r="CF205" s="69"/>
      <c r="CG205" s="69"/>
      <c r="CH205" s="69"/>
      <c r="CI205" s="69"/>
      <c r="CJ205" s="69"/>
      <c r="CK205" s="69"/>
      <c r="CL205" s="69"/>
      <c r="CM205" s="69"/>
      <c r="CN205" s="69"/>
      <c r="CO205" s="69"/>
      <c r="CP205" s="69"/>
      <c r="CQ205" s="69"/>
      <c r="CR205" s="69"/>
      <c r="CS205" s="69"/>
      <c r="CT205" s="69"/>
      <c r="CU205" s="69"/>
      <c r="CV205" s="69"/>
      <c r="CW205" s="69"/>
    </row>
    <row r="206" spans="1:101" ht="19.5" x14ac:dyDescent="0.35">
      <c r="A206" s="69"/>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69"/>
      <c r="BW206" s="69"/>
      <c r="BX206" s="69"/>
      <c r="BY206" s="69"/>
      <c r="BZ206" s="69"/>
      <c r="CA206" s="69"/>
      <c r="CB206" s="69"/>
      <c r="CC206" s="69"/>
      <c r="CD206" s="69"/>
      <c r="CE206" s="69"/>
      <c r="CF206" s="69"/>
      <c r="CG206" s="69"/>
      <c r="CH206" s="69"/>
      <c r="CI206" s="69"/>
      <c r="CJ206" s="69"/>
      <c r="CK206" s="69"/>
      <c r="CL206" s="69"/>
      <c r="CM206" s="69"/>
      <c r="CN206" s="69"/>
      <c r="CO206" s="69"/>
      <c r="CP206" s="69"/>
      <c r="CQ206" s="69"/>
      <c r="CR206" s="69"/>
      <c r="CS206" s="69"/>
      <c r="CT206" s="69"/>
      <c r="CU206" s="69"/>
      <c r="CV206" s="69"/>
      <c r="CW206" s="69"/>
    </row>
    <row r="207" spans="1:101" ht="19.5" x14ac:dyDescent="0.35">
      <c r="A207" s="69"/>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c r="CB207" s="69"/>
      <c r="CC207" s="69"/>
      <c r="CD207" s="69"/>
      <c r="CE207" s="69"/>
      <c r="CF207" s="69"/>
      <c r="CG207" s="69"/>
      <c r="CH207" s="69"/>
      <c r="CI207" s="69"/>
      <c r="CJ207" s="69"/>
      <c r="CK207" s="69"/>
      <c r="CL207" s="69"/>
      <c r="CM207" s="69"/>
      <c r="CN207" s="69"/>
      <c r="CO207" s="69"/>
      <c r="CP207" s="69"/>
      <c r="CQ207" s="69"/>
      <c r="CR207" s="69"/>
      <c r="CS207" s="69"/>
      <c r="CT207" s="69"/>
      <c r="CU207" s="69"/>
      <c r="CV207" s="69"/>
      <c r="CW207" s="69"/>
    </row>
    <row r="208" spans="1:101" ht="19.5" x14ac:dyDescent="0.35">
      <c r="A208" s="69"/>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c r="CB208" s="69"/>
      <c r="CC208" s="69"/>
      <c r="CD208" s="69"/>
      <c r="CE208" s="69"/>
      <c r="CF208" s="69"/>
      <c r="CG208" s="69"/>
      <c r="CH208" s="69"/>
      <c r="CI208" s="69"/>
      <c r="CJ208" s="69"/>
      <c r="CK208" s="69"/>
      <c r="CL208" s="69"/>
      <c r="CM208" s="69"/>
      <c r="CN208" s="69"/>
      <c r="CO208" s="69"/>
      <c r="CP208" s="69"/>
      <c r="CQ208" s="69"/>
      <c r="CR208" s="69"/>
      <c r="CS208" s="69"/>
      <c r="CT208" s="69"/>
      <c r="CU208" s="69"/>
      <c r="CV208" s="69"/>
      <c r="CW208" s="69"/>
    </row>
    <row r="209" spans="1:101" ht="19.5" x14ac:dyDescent="0.35">
      <c r="A209" s="69"/>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69"/>
      <c r="BA209" s="69"/>
      <c r="BB209" s="69"/>
      <c r="BC209" s="69"/>
      <c r="BD209" s="69"/>
      <c r="BE209" s="69"/>
      <c r="BF209" s="69"/>
      <c r="BG209" s="69"/>
      <c r="BH209" s="69"/>
      <c r="BI209" s="69"/>
      <c r="BJ209" s="69"/>
      <c r="BK209" s="69"/>
      <c r="BL209" s="69"/>
      <c r="BM209" s="69"/>
      <c r="BN209" s="69"/>
      <c r="BO209" s="69"/>
      <c r="BP209" s="69"/>
      <c r="BQ209" s="69"/>
      <c r="BR209" s="69"/>
      <c r="BS209" s="69"/>
      <c r="BT209" s="69"/>
      <c r="BU209" s="69"/>
      <c r="BV209" s="69"/>
      <c r="BW209" s="69"/>
      <c r="BX209" s="69"/>
      <c r="BY209" s="69"/>
      <c r="BZ209" s="69"/>
      <c r="CA209" s="69"/>
      <c r="CB209" s="69"/>
      <c r="CC209" s="69"/>
      <c r="CD209" s="69"/>
      <c r="CE209" s="69"/>
      <c r="CF209" s="69"/>
      <c r="CG209" s="69"/>
      <c r="CH209" s="69"/>
      <c r="CI209" s="69"/>
      <c r="CJ209" s="69"/>
      <c r="CK209" s="69"/>
      <c r="CL209" s="69"/>
      <c r="CM209" s="69"/>
      <c r="CN209" s="69"/>
      <c r="CO209" s="69"/>
      <c r="CP209" s="69"/>
      <c r="CQ209" s="69"/>
      <c r="CR209" s="69"/>
      <c r="CS209" s="69"/>
      <c r="CT209" s="69"/>
      <c r="CU209" s="69"/>
      <c r="CV209" s="69"/>
      <c r="CW209" s="69"/>
    </row>
    <row r="210" spans="1:101" ht="19.5" x14ac:dyDescent="0.35">
      <c r="A210" s="69"/>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c r="AY210" s="69"/>
      <c r="AZ210" s="69"/>
      <c r="BA210" s="69"/>
      <c r="BB210" s="69"/>
      <c r="BC210" s="69"/>
      <c r="BD210" s="69"/>
      <c r="BE210" s="69"/>
      <c r="BF210" s="69"/>
      <c r="BG210" s="69"/>
      <c r="BH210" s="69"/>
      <c r="BI210" s="69"/>
      <c r="BJ210" s="69"/>
      <c r="BK210" s="69"/>
      <c r="BL210" s="69"/>
      <c r="BM210" s="69"/>
      <c r="BN210" s="69"/>
      <c r="BO210" s="69"/>
      <c r="BP210" s="69"/>
      <c r="BQ210" s="69"/>
      <c r="BR210" s="69"/>
      <c r="BS210" s="69"/>
      <c r="BT210" s="69"/>
      <c r="BU210" s="69"/>
      <c r="BV210" s="69"/>
      <c r="BW210" s="69"/>
      <c r="BX210" s="69"/>
      <c r="BY210" s="69"/>
      <c r="BZ210" s="69"/>
      <c r="CA210" s="69"/>
      <c r="CB210" s="69"/>
      <c r="CC210" s="69"/>
      <c r="CD210" s="69"/>
      <c r="CE210" s="69"/>
      <c r="CF210" s="69"/>
      <c r="CG210" s="69"/>
      <c r="CH210" s="69"/>
      <c r="CI210" s="69"/>
      <c r="CJ210" s="69"/>
      <c r="CK210" s="69"/>
      <c r="CL210" s="69"/>
      <c r="CM210" s="69"/>
      <c r="CN210" s="69"/>
      <c r="CO210" s="69"/>
      <c r="CP210" s="69"/>
      <c r="CQ210" s="69"/>
      <c r="CR210" s="69"/>
      <c r="CS210" s="69"/>
      <c r="CT210" s="69"/>
      <c r="CU210" s="69"/>
      <c r="CV210" s="69"/>
      <c r="CW210" s="69"/>
    </row>
    <row r="211" spans="1:101" ht="19.5" x14ac:dyDescent="0.35">
      <c r="A211" s="69"/>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c r="CB211" s="69"/>
      <c r="CC211" s="69"/>
      <c r="CD211" s="69"/>
      <c r="CE211" s="69"/>
      <c r="CF211" s="69"/>
      <c r="CG211" s="69"/>
      <c r="CH211" s="69"/>
      <c r="CI211" s="69"/>
      <c r="CJ211" s="69"/>
      <c r="CK211" s="69"/>
      <c r="CL211" s="69"/>
      <c r="CM211" s="69"/>
      <c r="CN211" s="69"/>
      <c r="CO211" s="69"/>
      <c r="CP211" s="69"/>
      <c r="CQ211" s="69"/>
      <c r="CR211" s="69"/>
      <c r="CS211" s="69"/>
      <c r="CT211" s="69"/>
      <c r="CU211" s="69"/>
      <c r="CV211" s="69"/>
      <c r="CW211" s="69"/>
    </row>
    <row r="212" spans="1:101" ht="19.5" x14ac:dyDescent="0.35">
      <c r="A212" s="69"/>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c r="CA212" s="69"/>
      <c r="CB212" s="69"/>
      <c r="CC212" s="69"/>
      <c r="CD212" s="69"/>
      <c r="CE212" s="69"/>
      <c r="CF212" s="69"/>
      <c r="CG212" s="69"/>
      <c r="CH212" s="69"/>
      <c r="CI212" s="69"/>
      <c r="CJ212" s="69"/>
      <c r="CK212" s="69"/>
      <c r="CL212" s="69"/>
      <c r="CM212" s="69"/>
      <c r="CN212" s="69"/>
      <c r="CO212" s="69"/>
      <c r="CP212" s="69"/>
      <c r="CQ212" s="69"/>
      <c r="CR212" s="69"/>
      <c r="CS212" s="69"/>
      <c r="CT212" s="69"/>
      <c r="CU212" s="69"/>
      <c r="CV212" s="69"/>
      <c r="CW212" s="69"/>
    </row>
    <row r="213" spans="1:101" ht="19.5" x14ac:dyDescent="0.35">
      <c r="A213" s="69"/>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c r="BV213" s="69"/>
      <c r="BW213" s="69"/>
      <c r="BX213" s="69"/>
      <c r="BY213" s="69"/>
      <c r="BZ213" s="69"/>
      <c r="CA213" s="69"/>
      <c r="CB213" s="69"/>
      <c r="CC213" s="69"/>
      <c r="CD213" s="69"/>
      <c r="CE213" s="69"/>
      <c r="CF213" s="69"/>
      <c r="CG213" s="69"/>
      <c r="CH213" s="69"/>
      <c r="CI213" s="69"/>
      <c r="CJ213" s="69"/>
      <c r="CK213" s="69"/>
      <c r="CL213" s="69"/>
      <c r="CM213" s="69"/>
      <c r="CN213" s="69"/>
      <c r="CO213" s="69"/>
      <c r="CP213" s="69"/>
      <c r="CQ213" s="69"/>
      <c r="CR213" s="69"/>
      <c r="CS213" s="69"/>
      <c r="CT213" s="69"/>
      <c r="CU213" s="69"/>
      <c r="CV213" s="69"/>
      <c r="CW213" s="69"/>
    </row>
    <row r="214" spans="1:101" ht="19.5" x14ac:dyDescent="0.35">
      <c r="A214" s="69"/>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c r="CB214" s="69"/>
      <c r="CC214" s="69"/>
      <c r="CD214" s="69"/>
      <c r="CE214" s="69"/>
      <c r="CF214" s="69"/>
      <c r="CG214" s="69"/>
      <c r="CH214" s="69"/>
      <c r="CI214" s="69"/>
      <c r="CJ214" s="69"/>
      <c r="CK214" s="69"/>
      <c r="CL214" s="69"/>
      <c r="CM214" s="69"/>
      <c r="CN214" s="69"/>
      <c r="CO214" s="69"/>
      <c r="CP214" s="69"/>
      <c r="CQ214" s="69"/>
      <c r="CR214" s="69"/>
      <c r="CS214" s="69"/>
      <c r="CT214" s="69"/>
      <c r="CU214" s="69"/>
      <c r="CV214" s="69"/>
      <c r="CW214" s="69"/>
    </row>
    <row r="215" spans="1:101" ht="19.5" x14ac:dyDescent="0.35">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c r="CB215" s="69"/>
      <c r="CC215" s="69"/>
      <c r="CD215" s="69"/>
      <c r="CE215" s="69"/>
      <c r="CF215" s="69"/>
      <c r="CG215" s="69"/>
      <c r="CH215" s="69"/>
      <c r="CI215" s="69"/>
      <c r="CJ215" s="69"/>
      <c r="CK215" s="69"/>
      <c r="CL215" s="69"/>
      <c r="CM215" s="69"/>
      <c r="CN215" s="69"/>
      <c r="CO215" s="69"/>
      <c r="CP215" s="69"/>
      <c r="CQ215" s="69"/>
      <c r="CR215" s="69"/>
      <c r="CS215" s="69"/>
      <c r="CT215" s="69"/>
      <c r="CU215" s="69"/>
      <c r="CV215" s="69"/>
      <c r="CW215" s="69"/>
    </row>
    <row r="216" spans="1:101" ht="19.5" x14ac:dyDescent="0.35">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c r="CB216" s="69"/>
      <c r="CC216" s="69"/>
      <c r="CD216" s="69"/>
      <c r="CE216" s="69"/>
      <c r="CF216" s="69"/>
      <c r="CG216" s="69"/>
      <c r="CH216" s="69"/>
      <c r="CI216" s="69"/>
      <c r="CJ216" s="69"/>
      <c r="CK216" s="69"/>
      <c r="CL216" s="69"/>
      <c r="CM216" s="69"/>
      <c r="CN216" s="69"/>
      <c r="CO216" s="69"/>
      <c r="CP216" s="69"/>
      <c r="CQ216" s="69"/>
      <c r="CR216" s="69"/>
      <c r="CS216" s="69"/>
      <c r="CT216" s="69"/>
      <c r="CU216" s="69"/>
      <c r="CV216" s="69"/>
      <c r="CW216" s="69"/>
    </row>
    <row r="217" spans="1:101" ht="19.5" x14ac:dyDescent="0.35">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69"/>
      <c r="BW217" s="69"/>
      <c r="BX217" s="69"/>
      <c r="BY217" s="69"/>
      <c r="BZ217" s="69"/>
      <c r="CA217" s="69"/>
      <c r="CB217" s="69"/>
      <c r="CC217" s="69"/>
      <c r="CD217" s="69"/>
      <c r="CE217" s="69"/>
      <c r="CF217" s="69"/>
      <c r="CG217" s="69"/>
      <c r="CH217" s="69"/>
      <c r="CI217" s="69"/>
      <c r="CJ217" s="69"/>
      <c r="CK217" s="69"/>
      <c r="CL217" s="69"/>
      <c r="CM217" s="69"/>
      <c r="CN217" s="69"/>
      <c r="CO217" s="69"/>
      <c r="CP217" s="69"/>
      <c r="CQ217" s="69"/>
      <c r="CR217" s="69"/>
      <c r="CS217" s="69"/>
      <c r="CT217" s="69"/>
      <c r="CU217" s="69"/>
      <c r="CV217" s="69"/>
      <c r="CW217" s="69"/>
    </row>
    <row r="218" spans="1:101" ht="19.5" x14ac:dyDescent="0.35">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69"/>
      <c r="BW218" s="69"/>
      <c r="BX218" s="69"/>
      <c r="BY218" s="69"/>
      <c r="BZ218" s="69"/>
      <c r="CA218" s="69"/>
      <c r="CB218" s="69"/>
      <c r="CC218" s="69"/>
      <c r="CD218" s="69"/>
      <c r="CE218" s="69"/>
      <c r="CF218" s="69"/>
      <c r="CG218" s="69"/>
      <c r="CH218" s="69"/>
      <c r="CI218" s="69"/>
      <c r="CJ218" s="69"/>
      <c r="CK218" s="69"/>
      <c r="CL218" s="69"/>
      <c r="CM218" s="69"/>
      <c r="CN218" s="69"/>
      <c r="CO218" s="69"/>
      <c r="CP218" s="69"/>
      <c r="CQ218" s="69"/>
      <c r="CR218" s="69"/>
      <c r="CS218" s="69"/>
      <c r="CT218" s="69"/>
      <c r="CU218" s="69"/>
      <c r="CV218" s="69"/>
      <c r="CW218" s="69"/>
    </row>
    <row r="219" spans="1:101" ht="19.5" x14ac:dyDescent="0.35">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c r="CB219" s="69"/>
      <c r="CC219" s="69"/>
      <c r="CD219" s="69"/>
      <c r="CE219" s="69"/>
      <c r="CF219" s="69"/>
      <c r="CG219" s="69"/>
      <c r="CH219" s="69"/>
      <c r="CI219" s="69"/>
      <c r="CJ219" s="69"/>
      <c r="CK219" s="69"/>
      <c r="CL219" s="69"/>
      <c r="CM219" s="69"/>
      <c r="CN219" s="69"/>
      <c r="CO219" s="69"/>
      <c r="CP219" s="69"/>
      <c r="CQ219" s="69"/>
      <c r="CR219" s="69"/>
      <c r="CS219" s="69"/>
      <c r="CT219" s="69"/>
      <c r="CU219" s="69"/>
      <c r="CV219" s="69"/>
      <c r="CW219" s="69"/>
    </row>
    <row r="220" spans="1:101" ht="19.5" x14ac:dyDescent="0.35">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c r="CB220" s="69"/>
      <c r="CC220" s="69"/>
      <c r="CD220" s="69"/>
      <c r="CE220" s="69"/>
      <c r="CF220" s="69"/>
      <c r="CG220" s="69"/>
      <c r="CH220" s="69"/>
      <c r="CI220" s="69"/>
      <c r="CJ220" s="69"/>
      <c r="CK220" s="69"/>
      <c r="CL220" s="69"/>
      <c r="CM220" s="69"/>
      <c r="CN220" s="69"/>
      <c r="CO220" s="69"/>
      <c r="CP220" s="69"/>
      <c r="CQ220" s="69"/>
      <c r="CR220" s="69"/>
      <c r="CS220" s="69"/>
      <c r="CT220" s="69"/>
      <c r="CU220" s="69"/>
      <c r="CV220" s="69"/>
      <c r="CW220" s="69"/>
    </row>
    <row r="221" spans="1:101" ht="19.5" x14ac:dyDescent="0.35">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c r="CB221" s="69"/>
      <c r="CC221" s="69"/>
      <c r="CD221" s="69"/>
      <c r="CE221" s="69"/>
      <c r="CF221" s="69"/>
      <c r="CG221" s="69"/>
      <c r="CH221" s="69"/>
      <c r="CI221" s="69"/>
      <c r="CJ221" s="69"/>
      <c r="CK221" s="69"/>
      <c r="CL221" s="69"/>
      <c r="CM221" s="69"/>
      <c r="CN221" s="69"/>
      <c r="CO221" s="69"/>
      <c r="CP221" s="69"/>
      <c r="CQ221" s="69"/>
      <c r="CR221" s="69"/>
      <c r="CS221" s="69"/>
      <c r="CT221" s="69"/>
      <c r="CU221" s="69"/>
      <c r="CV221" s="69"/>
      <c r="CW221" s="69"/>
    </row>
    <row r="222" spans="1:101" ht="19.5" x14ac:dyDescent="0.35">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c r="AY222" s="69"/>
      <c r="AZ222" s="69"/>
      <c r="BA222" s="69"/>
      <c r="BB222" s="69"/>
      <c r="BC222" s="69"/>
      <c r="BD222" s="69"/>
      <c r="BE222" s="69"/>
      <c r="BF222" s="69"/>
      <c r="BG222" s="69"/>
      <c r="BH222" s="69"/>
      <c r="BI222" s="69"/>
      <c r="BJ222" s="69"/>
      <c r="BK222" s="69"/>
      <c r="BL222" s="69"/>
      <c r="BM222" s="69"/>
      <c r="BN222" s="69"/>
      <c r="BO222" s="69"/>
      <c r="BP222" s="69"/>
      <c r="BQ222" s="69"/>
      <c r="BR222" s="69"/>
      <c r="BS222" s="69"/>
      <c r="BT222" s="69"/>
      <c r="BU222" s="69"/>
      <c r="BV222" s="69"/>
      <c r="BW222" s="69"/>
      <c r="BX222" s="69"/>
      <c r="BY222" s="69"/>
      <c r="BZ222" s="69"/>
      <c r="CA222" s="69"/>
      <c r="CB222" s="69"/>
      <c r="CC222" s="69"/>
      <c r="CD222" s="69"/>
      <c r="CE222" s="69"/>
      <c r="CF222" s="69"/>
      <c r="CG222" s="69"/>
      <c r="CH222" s="69"/>
      <c r="CI222" s="69"/>
      <c r="CJ222" s="69"/>
      <c r="CK222" s="69"/>
      <c r="CL222" s="69"/>
      <c r="CM222" s="69"/>
      <c r="CN222" s="69"/>
      <c r="CO222" s="69"/>
      <c r="CP222" s="69"/>
      <c r="CQ222" s="69"/>
      <c r="CR222" s="69"/>
      <c r="CS222" s="69"/>
      <c r="CT222" s="69"/>
      <c r="CU222" s="69"/>
      <c r="CV222" s="69"/>
      <c r="CW222" s="69"/>
    </row>
    <row r="223" spans="1:101" ht="19.5" x14ac:dyDescent="0.35">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c r="CB223" s="69"/>
      <c r="CC223" s="69"/>
      <c r="CD223" s="69"/>
      <c r="CE223" s="69"/>
      <c r="CF223" s="69"/>
      <c r="CG223" s="69"/>
      <c r="CH223" s="69"/>
      <c r="CI223" s="69"/>
      <c r="CJ223" s="69"/>
      <c r="CK223" s="69"/>
      <c r="CL223" s="69"/>
      <c r="CM223" s="69"/>
      <c r="CN223" s="69"/>
      <c r="CO223" s="69"/>
      <c r="CP223" s="69"/>
      <c r="CQ223" s="69"/>
      <c r="CR223" s="69"/>
      <c r="CS223" s="69"/>
      <c r="CT223" s="69"/>
      <c r="CU223" s="69"/>
      <c r="CV223" s="69"/>
      <c r="CW223" s="69"/>
    </row>
    <row r="224" spans="1:101" ht="19.5" x14ac:dyDescent="0.35">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c r="CB224" s="69"/>
      <c r="CC224" s="69"/>
      <c r="CD224" s="69"/>
      <c r="CE224" s="69"/>
      <c r="CF224" s="69"/>
      <c r="CG224" s="69"/>
      <c r="CH224" s="69"/>
      <c r="CI224" s="69"/>
      <c r="CJ224" s="69"/>
      <c r="CK224" s="69"/>
      <c r="CL224" s="69"/>
      <c r="CM224" s="69"/>
      <c r="CN224" s="69"/>
      <c r="CO224" s="69"/>
      <c r="CP224" s="69"/>
      <c r="CQ224" s="69"/>
      <c r="CR224" s="69"/>
      <c r="CS224" s="69"/>
      <c r="CT224" s="69"/>
      <c r="CU224" s="69"/>
      <c r="CV224" s="69"/>
      <c r="CW224" s="69"/>
    </row>
    <row r="225" spans="1:101" ht="19.5" x14ac:dyDescent="0.35">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c r="CB225" s="69"/>
      <c r="CC225" s="69"/>
      <c r="CD225" s="69"/>
      <c r="CE225" s="69"/>
      <c r="CF225" s="69"/>
      <c r="CG225" s="69"/>
      <c r="CH225" s="69"/>
      <c r="CI225" s="69"/>
      <c r="CJ225" s="69"/>
      <c r="CK225" s="69"/>
      <c r="CL225" s="69"/>
      <c r="CM225" s="69"/>
      <c r="CN225" s="69"/>
      <c r="CO225" s="69"/>
      <c r="CP225" s="69"/>
      <c r="CQ225" s="69"/>
      <c r="CR225" s="69"/>
      <c r="CS225" s="69"/>
      <c r="CT225" s="69"/>
      <c r="CU225" s="69"/>
      <c r="CV225" s="69"/>
      <c r="CW225" s="69"/>
    </row>
    <row r="226" spans="1:101" ht="19.5" x14ac:dyDescent="0.35">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c r="CB226" s="69"/>
      <c r="CC226" s="69"/>
      <c r="CD226" s="69"/>
      <c r="CE226" s="69"/>
      <c r="CF226" s="69"/>
      <c r="CG226" s="69"/>
      <c r="CH226" s="69"/>
      <c r="CI226" s="69"/>
      <c r="CJ226" s="69"/>
      <c r="CK226" s="69"/>
      <c r="CL226" s="69"/>
      <c r="CM226" s="69"/>
      <c r="CN226" s="69"/>
      <c r="CO226" s="69"/>
      <c r="CP226" s="69"/>
      <c r="CQ226" s="69"/>
      <c r="CR226" s="69"/>
      <c r="CS226" s="69"/>
      <c r="CT226" s="69"/>
      <c r="CU226" s="69"/>
      <c r="CV226" s="69"/>
      <c r="CW226" s="69"/>
    </row>
    <row r="227" spans="1:101" ht="19.5" x14ac:dyDescent="0.35">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c r="CB227" s="69"/>
      <c r="CC227" s="69"/>
      <c r="CD227" s="69"/>
      <c r="CE227" s="69"/>
      <c r="CF227" s="69"/>
      <c r="CG227" s="69"/>
      <c r="CH227" s="69"/>
      <c r="CI227" s="69"/>
      <c r="CJ227" s="69"/>
      <c r="CK227" s="69"/>
      <c r="CL227" s="69"/>
      <c r="CM227" s="69"/>
      <c r="CN227" s="69"/>
      <c r="CO227" s="69"/>
      <c r="CP227" s="69"/>
      <c r="CQ227" s="69"/>
      <c r="CR227" s="69"/>
      <c r="CS227" s="69"/>
      <c r="CT227" s="69"/>
      <c r="CU227" s="69"/>
      <c r="CV227" s="69"/>
      <c r="CW227" s="69"/>
    </row>
    <row r="228" spans="1:101" ht="19.5" x14ac:dyDescent="0.35">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c r="AY228" s="69"/>
      <c r="AZ228" s="69"/>
      <c r="BA228" s="69"/>
      <c r="BB228" s="69"/>
      <c r="BC228" s="69"/>
      <c r="BD228" s="69"/>
      <c r="BE228" s="69"/>
      <c r="BF228" s="69"/>
      <c r="BG228" s="69"/>
      <c r="BH228" s="69"/>
      <c r="BI228" s="69"/>
      <c r="BJ228" s="69"/>
      <c r="BK228" s="69"/>
      <c r="BL228" s="69"/>
      <c r="BM228" s="69"/>
      <c r="BN228" s="69"/>
      <c r="BO228" s="69"/>
      <c r="BP228" s="69"/>
      <c r="BQ228" s="69"/>
      <c r="BR228" s="69"/>
      <c r="BS228" s="69"/>
      <c r="BT228" s="69"/>
      <c r="BU228" s="69"/>
      <c r="BV228" s="69"/>
      <c r="BW228" s="69"/>
      <c r="BX228" s="69"/>
      <c r="BY228" s="69"/>
      <c r="BZ228" s="69"/>
      <c r="CA228" s="69"/>
      <c r="CB228" s="69"/>
      <c r="CC228" s="69"/>
      <c r="CD228" s="69"/>
      <c r="CE228" s="69"/>
      <c r="CF228" s="69"/>
      <c r="CG228" s="69"/>
      <c r="CH228" s="69"/>
      <c r="CI228" s="69"/>
      <c r="CJ228" s="69"/>
      <c r="CK228" s="69"/>
      <c r="CL228" s="69"/>
      <c r="CM228" s="69"/>
      <c r="CN228" s="69"/>
      <c r="CO228" s="69"/>
      <c r="CP228" s="69"/>
      <c r="CQ228" s="69"/>
      <c r="CR228" s="69"/>
      <c r="CS228" s="69"/>
      <c r="CT228" s="69"/>
      <c r="CU228" s="69"/>
      <c r="CV228" s="69"/>
      <c r="CW228" s="69"/>
    </row>
    <row r="229" spans="1:101" ht="19.5" x14ac:dyDescent="0.35">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c r="CB229" s="69"/>
      <c r="CC229" s="69"/>
      <c r="CD229" s="69"/>
      <c r="CE229" s="69"/>
      <c r="CF229" s="69"/>
      <c r="CG229" s="69"/>
      <c r="CH229" s="69"/>
      <c r="CI229" s="69"/>
      <c r="CJ229" s="69"/>
      <c r="CK229" s="69"/>
      <c r="CL229" s="69"/>
      <c r="CM229" s="69"/>
      <c r="CN229" s="69"/>
      <c r="CO229" s="69"/>
      <c r="CP229" s="69"/>
      <c r="CQ229" s="69"/>
      <c r="CR229" s="69"/>
      <c r="CS229" s="69"/>
      <c r="CT229" s="69"/>
      <c r="CU229" s="69"/>
      <c r="CV229" s="69"/>
      <c r="CW229" s="69"/>
    </row>
    <row r="230" spans="1:101" ht="19.5" x14ac:dyDescent="0.35">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c r="CB230" s="69"/>
      <c r="CC230" s="69"/>
      <c r="CD230" s="69"/>
      <c r="CE230" s="69"/>
      <c r="CF230" s="69"/>
      <c r="CG230" s="69"/>
      <c r="CH230" s="69"/>
      <c r="CI230" s="69"/>
      <c r="CJ230" s="69"/>
      <c r="CK230" s="69"/>
      <c r="CL230" s="69"/>
      <c r="CM230" s="69"/>
      <c r="CN230" s="69"/>
      <c r="CO230" s="69"/>
      <c r="CP230" s="69"/>
      <c r="CQ230" s="69"/>
      <c r="CR230" s="69"/>
      <c r="CS230" s="69"/>
      <c r="CT230" s="69"/>
      <c r="CU230" s="69"/>
      <c r="CV230" s="69"/>
      <c r="CW230" s="69"/>
    </row>
    <row r="231" spans="1:101" ht="19.5" x14ac:dyDescent="0.35">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c r="CB231" s="69"/>
      <c r="CC231" s="69"/>
      <c r="CD231" s="69"/>
      <c r="CE231" s="69"/>
      <c r="CF231" s="69"/>
      <c r="CG231" s="69"/>
      <c r="CH231" s="69"/>
      <c r="CI231" s="69"/>
      <c r="CJ231" s="69"/>
      <c r="CK231" s="69"/>
      <c r="CL231" s="69"/>
      <c r="CM231" s="69"/>
      <c r="CN231" s="69"/>
      <c r="CO231" s="69"/>
      <c r="CP231" s="69"/>
      <c r="CQ231" s="69"/>
      <c r="CR231" s="69"/>
      <c r="CS231" s="69"/>
      <c r="CT231" s="69"/>
      <c r="CU231" s="69"/>
      <c r="CV231" s="69"/>
      <c r="CW231" s="69"/>
    </row>
    <row r="232" spans="1:101" ht="19.5" x14ac:dyDescent="0.35">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c r="CB232" s="69"/>
      <c r="CC232" s="69"/>
      <c r="CD232" s="69"/>
      <c r="CE232" s="69"/>
      <c r="CF232" s="69"/>
      <c r="CG232" s="69"/>
      <c r="CH232" s="69"/>
      <c r="CI232" s="69"/>
      <c r="CJ232" s="69"/>
      <c r="CK232" s="69"/>
      <c r="CL232" s="69"/>
      <c r="CM232" s="69"/>
      <c r="CN232" s="69"/>
      <c r="CO232" s="69"/>
      <c r="CP232" s="69"/>
      <c r="CQ232" s="69"/>
      <c r="CR232" s="69"/>
      <c r="CS232" s="69"/>
      <c r="CT232" s="69"/>
      <c r="CU232" s="69"/>
      <c r="CV232" s="69"/>
      <c r="CW232" s="69"/>
    </row>
    <row r="233" spans="1:101" ht="19.5" x14ac:dyDescent="0.35">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c r="CB233" s="69"/>
      <c r="CC233" s="69"/>
      <c r="CD233" s="69"/>
      <c r="CE233" s="69"/>
      <c r="CF233" s="69"/>
      <c r="CG233" s="69"/>
      <c r="CH233" s="69"/>
      <c r="CI233" s="69"/>
      <c r="CJ233" s="69"/>
      <c r="CK233" s="69"/>
      <c r="CL233" s="69"/>
      <c r="CM233" s="69"/>
      <c r="CN233" s="69"/>
      <c r="CO233" s="69"/>
      <c r="CP233" s="69"/>
      <c r="CQ233" s="69"/>
      <c r="CR233" s="69"/>
      <c r="CS233" s="69"/>
      <c r="CT233" s="69"/>
      <c r="CU233" s="69"/>
      <c r="CV233" s="69"/>
      <c r="CW233" s="69"/>
    </row>
    <row r="234" spans="1:101" ht="19.5" x14ac:dyDescent="0.35">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c r="CB234" s="69"/>
      <c r="CC234" s="69"/>
      <c r="CD234" s="69"/>
      <c r="CE234" s="69"/>
      <c r="CF234" s="69"/>
      <c r="CG234" s="69"/>
      <c r="CH234" s="69"/>
      <c r="CI234" s="69"/>
      <c r="CJ234" s="69"/>
      <c r="CK234" s="69"/>
      <c r="CL234" s="69"/>
      <c r="CM234" s="69"/>
      <c r="CN234" s="69"/>
      <c r="CO234" s="69"/>
      <c r="CP234" s="69"/>
      <c r="CQ234" s="69"/>
      <c r="CR234" s="69"/>
      <c r="CS234" s="69"/>
      <c r="CT234" s="69"/>
      <c r="CU234" s="69"/>
      <c r="CV234" s="69"/>
      <c r="CW234" s="69"/>
    </row>
    <row r="235" spans="1:101" ht="19.5" x14ac:dyDescent="0.35">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69"/>
      <c r="BW235" s="69"/>
      <c r="BX235" s="69"/>
      <c r="BY235" s="69"/>
      <c r="BZ235" s="69"/>
      <c r="CA235" s="69"/>
      <c r="CB235" s="69"/>
      <c r="CC235" s="69"/>
      <c r="CD235" s="69"/>
      <c r="CE235" s="69"/>
      <c r="CF235" s="69"/>
      <c r="CG235" s="69"/>
      <c r="CH235" s="69"/>
      <c r="CI235" s="69"/>
      <c r="CJ235" s="69"/>
      <c r="CK235" s="69"/>
      <c r="CL235" s="69"/>
      <c r="CM235" s="69"/>
      <c r="CN235" s="69"/>
      <c r="CO235" s="69"/>
      <c r="CP235" s="69"/>
      <c r="CQ235" s="69"/>
      <c r="CR235" s="69"/>
      <c r="CS235" s="69"/>
      <c r="CT235" s="69"/>
      <c r="CU235" s="69"/>
      <c r="CV235" s="69"/>
      <c r="CW235" s="69"/>
    </row>
    <row r="236" spans="1:101" ht="19.5" x14ac:dyDescent="0.35">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69"/>
      <c r="BW236" s="69"/>
      <c r="BX236" s="69"/>
      <c r="BY236" s="69"/>
      <c r="BZ236" s="69"/>
      <c r="CA236" s="69"/>
      <c r="CB236" s="69"/>
      <c r="CC236" s="69"/>
      <c r="CD236" s="69"/>
      <c r="CE236" s="69"/>
      <c r="CF236" s="69"/>
      <c r="CG236" s="69"/>
      <c r="CH236" s="69"/>
      <c r="CI236" s="69"/>
      <c r="CJ236" s="69"/>
      <c r="CK236" s="69"/>
      <c r="CL236" s="69"/>
      <c r="CM236" s="69"/>
      <c r="CN236" s="69"/>
      <c r="CO236" s="69"/>
      <c r="CP236" s="69"/>
      <c r="CQ236" s="69"/>
      <c r="CR236" s="69"/>
      <c r="CS236" s="69"/>
      <c r="CT236" s="69"/>
      <c r="CU236" s="69"/>
      <c r="CV236" s="69"/>
      <c r="CW236" s="69"/>
    </row>
    <row r="237" spans="1:101" ht="19.5" x14ac:dyDescent="0.35">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c r="CB237" s="69"/>
      <c r="CC237" s="69"/>
      <c r="CD237" s="69"/>
      <c r="CE237" s="69"/>
      <c r="CF237" s="69"/>
      <c r="CG237" s="69"/>
      <c r="CH237" s="69"/>
      <c r="CI237" s="69"/>
      <c r="CJ237" s="69"/>
      <c r="CK237" s="69"/>
      <c r="CL237" s="69"/>
      <c r="CM237" s="69"/>
      <c r="CN237" s="69"/>
      <c r="CO237" s="69"/>
      <c r="CP237" s="69"/>
      <c r="CQ237" s="69"/>
      <c r="CR237" s="69"/>
      <c r="CS237" s="69"/>
      <c r="CT237" s="69"/>
      <c r="CU237" s="69"/>
      <c r="CV237" s="69"/>
      <c r="CW237" s="69"/>
    </row>
    <row r="238" spans="1:101" ht="19.5" x14ac:dyDescent="0.35">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c r="CA238" s="69"/>
      <c r="CB238" s="69"/>
      <c r="CC238" s="69"/>
      <c r="CD238" s="69"/>
      <c r="CE238" s="69"/>
      <c r="CF238" s="69"/>
      <c r="CG238" s="69"/>
      <c r="CH238" s="69"/>
      <c r="CI238" s="69"/>
      <c r="CJ238" s="69"/>
      <c r="CK238" s="69"/>
      <c r="CL238" s="69"/>
      <c r="CM238" s="69"/>
      <c r="CN238" s="69"/>
      <c r="CO238" s="69"/>
      <c r="CP238" s="69"/>
      <c r="CQ238" s="69"/>
      <c r="CR238" s="69"/>
      <c r="CS238" s="69"/>
      <c r="CT238" s="69"/>
      <c r="CU238" s="69"/>
      <c r="CV238" s="69"/>
      <c r="CW238" s="69"/>
    </row>
  </sheetData>
  <mergeCells count="3">
    <mergeCell ref="A1:B1"/>
    <mergeCell ref="D1:E1"/>
    <mergeCell ref="F84:G84"/>
  </mergeCells>
  <conditionalFormatting sqref="N2:N72">
    <cfRule type="colorScale" priority="30">
      <colorScale>
        <cfvo type="num" val="-100"/>
        <cfvo type="num" val="0"/>
        <cfvo type="num" val="100"/>
        <color rgb="FFFF0000"/>
        <color rgb="FF00CC66"/>
        <color rgb="FFFF0000"/>
      </colorScale>
    </cfRule>
  </conditionalFormatting>
  <conditionalFormatting sqref="AC2:AC72">
    <cfRule type="colorScale" priority="106">
      <colorScale>
        <cfvo type="min"/>
        <cfvo type="num" val="0"/>
        <cfvo type="max"/>
        <color rgb="FF00CC66"/>
        <color rgb="FFFFEB84"/>
        <color rgb="FFFF6D6D"/>
      </colorScale>
    </cfRule>
    <cfRule type="colorScale" priority="107">
      <colorScale>
        <cfvo type="min"/>
        <cfvo type="num" val="0"/>
        <cfvo type="max"/>
        <color rgb="FF00B050"/>
        <color rgb="FFFFEB84"/>
        <color rgb="FFFF0000"/>
      </colorScale>
    </cfRule>
    <cfRule type="cellIs" dxfId="11" priority="108" operator="greaterThan">
      <formula>$AB$37</formula>
    </cfRule>
    <cfRule type="cellIs" dxfId="10" priority="109" operator="greaterThan">
      <formula>$AB$37</formula>
    </cfRule>
  </conditionalFormatting>
  <conditionalFormatting sqref="AB2:AB72">
    <cfRule type="colorScale" priority="122">
      <colorScale>
        <cfvo type="min"/>
        <cfvo type="num" val="0"/>
        <cfvo type="max"/>
        <color rgb="FF00CC66"/>
        <color rgb="FFFFEB84"/>
        <color rgb="FFFF6D6D"/>
      </colorScale>
    </cfRule>
    <cfRule type="colorScale" priority="123">
      <colorScale>
        <cfvo type="min"/>
        <cfvo type="num" val="0"/>
        <cfvo type="max"/>
        <color rgb="FF00B050"/>
        <color rgb="FFFFEB84"/>
        <color rgb="FFFF0000"/>
      </colorScale>
    </cfRule>
    <cfRule type="cellIs" dxfId="9" priority="124" operator="lessThan">
      <formula>0</formula>
    </cfRule>
  </conditionalFormatting>
  <conditionalFormatting sqref="AA2:AA72">
    <cfRule type="colorScale" priority="134">
      <colorScale>
        <cfvo type="min"/>
        <cfvo type="num" val="0"/>
        <cfvo type="max"/>
        <color rgb="FF00CC66"/>
        <color rgb="FFFFEB84"/>
        <color rgb="FFFF6D6D"/>
      </colorScale>
    </cfRule>
    <cfRule type="colorScale" priority="135">
      <colorScale>
        <cfvo type="min"/>
        <cfvo type="num" val="0"/>
        <cfvo type="max"/>
        <color rgb="FF00B050"/>
        <color rgb="FFFFEB84"/>
        <color rgb="FFFF0000"/>
      </colorScale>
    </cfRule>
    <cfRule type="cellIs" dxfId="8" priority="136" operator="lessThan">
      <formula>0</formula>
    </cfRule>
  </conditionalFormatting>
  <conditionalFormatting sqref="W2:W72">
    <cfRule type="colorScale" priority="143">
      <colorScale>
        <cfvo type="min"/>
        <cfvo type="percentile" val="50"/>
        <cfvo type="max"/>
        <color rgb="FF63BE7B"/>
        <color rgb="FFFFEB84"/>
        <color rgb="FFF8696B"/>
      </colorScale>
    </cfRule>
    <cfRule type="cellIs" dxfId="7" priority="144" operator="greaterThan">
      <formula>0</formula>
    </cfRule>
    <cfRule type="cellIs" dxfId="6" priority="145" operator="lessThan">
      <formula>0</formula>
    </cfRule>
  </conditionalFormatting>
  <conditionalFormatting sqref="X3:X72">
    <cfRule type="colorScale" priority="152">
      <colorScale>
        <cfvo type="min"/>
        <cfvo type="percentile" val="50"/>
        <cfvo type="max"/>
        <color rgb="FF63BE7B"/>
        <color rgb="FFFFEB84"/>
        <color rgb="FFF8696B"/>
      </colorScale>
    </cfRule>
  </conditionalFormatting>
  <conditionalFormatting sqref="Z2:Z72">
    <cfRule type="colorScale" priority="155">
      <colorScale>
        <cfvo type="min"/>
        <cfvo type="percentile" val="50"/>
        <cfvo type="max"/>
        <color rgb="FF63BE7B"/>
        <color rgb="FFFFEB84"/>
        <color rgb="FFF8696B"/>
      </colorScale>
    </cfRule>
  </conditionalFormatting>
  <conditionalFormatting sqref="X2:X72">
    <cfRule type="colorScale" priority="158">
      <colorScale>
        <cfvo type="min"/>
        <cfvo type="percentile" val="50"/>
        <cfvo type="max"/>
        <color rgb="FF63BE7B"/>
        <color rgb="FFFFEB84"/>
        <color rgb="FFF8696B"/>
      </colorScale>
    </cfRule>
  </conditionalFormatting>
  <conditionalFormatting sqref="Y2:Y72">
    <cfRule type="colorScale" priority="161">
      <colorScale>
        <cfvo type="min"/>
        <cfvo type="percentile" val="50"/>
        <cfvo type="max"/>
        <color rgb="FF63BE7B"/>
        <color rgb="FFFFEB84"/>
        <color rgb="FFF8696B"/>
      </colorScale>
    </cfRule>
  </conditionalFormatting>
  <conditionalFormatting sqref="AA2:AC72">
    <cfRule type="colorScale" priority="164">
      <colorScale>
        <cfvo type="min"/>
        <cfvo type="num" val="0"/>
        <cfvo type="max"/>
        <color rgb="FF00CC66"/>
        <color rgb="FFFFEB84"/>
        <color rgb="FFFF6D6D"/>
      </colorScale>
    </cfRule>
  </conditionalFormatting>
  <conditionalFormatting sqref="O2:O72">
    <cfRule type="colorScale" priority="169">
      <colorScale>
        <cfvo type="min"/>
        <cfvo type="max"/>
        <color rgb="FFFCFCFF"/>
        <color rgb="FF63BE7B"/>
      </colorScale>
    </cfRule>
  </conditionalFormatting>
  <conditionalFormatting sqref="P2:P72">
    <cfRule type="colorScale" priority="172">
      <colorScale>
        <cfvo type="min"/>
        <cfvo type="max"/>
        <color rgb="FFFCFCFF"/>
        <color rgb="FF63BE7B"/>
      </colorScale>
    </cfRule>
  </conditionalFormatting>
  <conditionalFormatting sqref="N85:N155">
    <cfRule type="colorScale" priority="7">
      <colorScale>
        <cfvo type="num" val="-100"/>
        <cfvo type="num" val="0"/>
        <cfvo type="num" val="100"/>
        <color rgb="FFFF0000"/>
        <color rgb="FF00CC66"/>
        <color rgb="FFFF0000"/>
      </colorScale>
    </cfRule>
  </conditionalFormatting>
  <conditionalFormatting sqref="AC85:AC155">
    <cfRule type="colorScale" priority="8">
      <colorScale>
        <cfvo type="min"/>
        <cfvo type="num" val="0"/>
        <cfvo type="max"/>
        <color rgb="FF00CC66"/>
        <color rgb="FFFFEB84"/>
        <color rgb="FFFF6D6D"/>
      </colorScale>
    </cfRule>
    <cfRule type="colorScale" priority="9">
      <colorScale>
        <cfvo type="min"/>
        <cfvo type="num" val="0"/>
        <cfvo type="max"/>
        <color rgb="FF00B050"/>
        <color rgb="FFFFEB84"/>
        <color rgb="FFFF0000"/>
      </colorScale>
    </cfRule>
    <cfRule type="cellIs" dxfId="5" priority="10" operator="greaterThan">
      <formula>$AB$37</formula>
    </cfRule>
    <cfRule type="cellIs" dxfId="4" priority="11" operator="greaterThan">
      <formula>$AB$37</formula>
    </cfRule>
  </conditionalFormatting>
  <conditionalFormatting sqref="AB85:AB155">
    <cfRule type="colorScale" priority="12">
      <colorScale>
        <cfvo type="min"/>
        <cfvo type="num" val="0"/>
        <cfvo type="max"/>
        <color rgb="FF00CC66"/>
        <color rgb="FFFFEB84"/>
        <color rgb="FFFF6D6D"/>
      </colorScale>
    </cfRule>
    <cfRule type="colorScale" priority="13">
      <colorScale>
        <cfvo type="min"/>
        <cfvo type="num" val="0"/>
        <cfvo type="max"/>
        <color rgb="FF00B050"/>
        <color rgb="FFFFEB84"/>
        <color rgb="FFFF0000"/>
      </colorScale>
    </cfRule>
    <cfRule type="cellIs" dxfId="3" priority="14" operator="lessThan">
      <formula>0</formula>
    </cfRule>
  </conditionalFormatting>
  <conditionalFormatting sqref="AA85:AA155">
    <cfRule type="colorScale" priority="15">
      <colorScale>
        <cfvo type="min"/>
        <cfvo type="num" val="0"/>
        <cfvo type="max"/>
        <color rgb="FF00CC66"/>
        <color rgb="FFFFEB84"/>
        <color rgb="FFFF6D6D"/>
      </colorScale>
    </cfRule>
    <cfRule type="colorScale" priority="16">
      <colorScale>
        <cfvo type="min"/>
        <cfvo type="num" val="0"/>
        <cfvo type="max"/>
        <color rgb="FF00B050"/>
        <color rgb="FFFFEB84"/>
        <color rgb="FFFF0000"/>
      </colorScale>
    </cfRule>
    <cfRule type="cellIs" dxfId="2" priority="17" operator="lessThan">
      <formula>0</formula>
    </cfRule>
  </conditionalFormatting>
  <conditionalFormatting sqref="W85:W155">
    <cfRule type="colorScale" priority="18">
      <colorScale>
        <cfvo type="min"/>
        <cfvo type="percentile" val="50"/>
        <cfvo type="max"/>
        <color rgb="FF63BE7B"/>
        <color rgb="FFFFEB84"/>
        <color rgb="FFF8696B"/>
      </colorScale>
    </cfRule>
    <cfRule type="cellIs" dxfId="1" priority="19" operator="greaterThan">
      <formula>0</formula>
    </cfRule>
    <cfRule type="cellIs" dxfId="0" priority="20" operator="lessThan">
      <formula>0</formula>
    </cfRule>
  </conditionalFormatting>
  <conditionalFormatting sqref="X86:X155">
    <cfRule type="colorScale" priority="21">
      <colorScale>
        <cfvo type="min"/>
        <cfvo type="percentile" val="50"/>
        <cfvo type="max"/>
        <color rgb="FF63BE7B"/>
        <color rgb="FFFFEB84"/>
        <color rgb="FFF8696B"/>
      </colorScale>
    </cfRule>
  </conditionalFormatting>
  <conditionalFormatting sqref="Z85:Z155">
    <cfRule type="colorScale" priority="22">
      <colorScale>
        <cfvo type="min"/>
        <cfvo type="percentile" val="50"/>
        <cfvo type="max"/>
        <color rgb="FF63BE7B"/>
        <color rgb="FFFFEB84"/>
        <color rgb="FFF8696B"/>
      </colorScale>
    </cfRule>
  </conditionalFormatting>
  <conditionalFormatting sqref="X85:X155">
    <cfRule type="colorScale" priority="23">
      <colorScale>
        <cfvo type="min"/>
        <cfvo type="percentile" val="50"/>
        <cfvo type="max"/>
        <color rgb="FF63BE7B"/>
        <color rgb="FFFFEB84"/>
        <color rgb="FFF8696B"/>
      </colorScale>
    </cfRule>
  </conditionalFormatting>
  <conditionalFormatting sqref="Y85:Y155">
    <cfRule type="colorScale" priority="24">
      <colorScale>
        <cfvo type="min"/>
        <cfvo type="percentile" val="50"/>
        <cfvo type="max"/>
        <color rgb="FF63BE7B"/>
        <color rgb="FFFFEB84"/>
        <color rgb="FFF8696B"/>
      </colorScale>
    </cfRule>
  </conditionalFormatting>
  <conditionalFormatting sqref="AA85:AC155">
    <cfRule type="colorScale" priority="25">
      <colorScale>
        <cfvo type="min"/>
        <cfvo type="num" val="0"/>
        <cfvo type="max"/>
        <color rgb="FF00CC66"/>
        <color rgb="FFFFEB84"/>
        <color rgb="FFFF6D6D"/>
      </colorScale>
    </cfRule>
  </conditionalFormatting>
  <conditionalFormatting sqref="O85:O155">
    <cfRule type="colorScale" priority="26">
      <colorScale>
        <cfvo type="min"/>
        <cfvo type="max"/>
        <color rgb="FFFCFCFF"/>
        <color rgb="FF63BE7B"/>
      </colorScale>
    </cfRule>
  </conditionalFormatting>
  <conditionalFormatting sqref="P85:P155">
    <cfRule type="colorScale" priority="27">
      <colorScale>
        <cfvo type="min"/>
        <cfvo type="max"/>
        <color rgb="FFFCFCFF"/>
        <color rgb="FF63BE7B"/>
      </colorScale>
    </cfRule>
  </conditionalFormatting>
  <conditionalFormatting sqref="AD85:AD155">
    <cfRule type="colorScale" priority="6">
      <colorScale>
        <cfvo type="min"/>
        <cfvo type="percentile" val="50"/>
        <cfvo type="max"/>
        <color rgb="FF63BE7B"/>
        <color rgb="FFFFEB84"/>
        <color rgb="FFF8696B"/>
      </colorScale>
    </cfRule>
  </conditionalFormatting>
  <conditionalFormatting sqref="AE85:AE155">
    <cfRule type="colorScale" priority="5">
      <colorScale>
        <cfvo type="min"/>
        <cfvo type="percentile" val="50"/>
        <cfvo type="max"/>
        <color rgb="FF63BE7B"/>
        <color rgb="FFFFEB84"/>
        <color rgb="FFF8696B"/>
      </colorScale>
    </cfRule>
  </conditionalFormatting>
  <conditionalFormatting sqref="AF85:AI155">
    <cfRule type="colorScale" priority="4">
      <colorScale>
        <cfvo type="min"/>
        <cfvo type="percentile" val="50"/>
        <cfvo type="max"/>
        <color rgb="FF63BE7B"/>
        <color rgb="FFFFEB84"/>
        <color rgb="FFF8696B"/>
      </colorScale>
    </cfRule>
  </conditionalFormatting>
  <conditionalFormatting sqref="AQ85:AQ155">
    <cfRule type="colorScale" priority="3">
      <colorScale>
        <cfvo type="min"/>
        <cfvo type="num" val="100"/>
        <cfvo type="max"/>
        <color rgb="FFFF0000"/>
        <color rgb="FF00B050"/>
        <color rgb="FFFF0000"/>
      </colorScale>
    </cfRule>
  </conditionalFormatting>
  <conditionalFormatting sqref="AP85:AP155">
    <cfRule type="colorScale" priority="1">
      <colorScale>
        <cfvo type="min"/>
        <cfvo type="num" val="24.8"/>
        <cfvo type="max"/>
        <color rgb="FF00B0F0"/>
        <color rgb="FF00B050"/>
        <color rgb="FFFF0000"/>
      </colorScale>
    </cfRule>
  </conditionalFormatting>
  <hyperlinks>
    <hyperlink ref="BH2" r:id="rId1"/>
    <hyperlink ref="BN23" r:id="rId2"/>
    <hyperlink ref="BN4" r:id="rId3"/>
    <hyperlink ref="BN36" r:id="rId4"/>
    <hyperlink ref="BT48" r:id="rId5"/>
    <hyperlink ref="BQ99" r:id="rId6"/>
    <hyperlink ref="BK71" r:id="rId7"/>
    <hyperlink ref="AZ23" r:id="rId8"/>
    <hyperlink ref="BB24" r:id="rId9"/>
    <hyperlink ref="AZ19" r:id="rId10"/>
    <hyperlink ref="AZ20" r:id="rId11"/>
    <hyperlink ref="BB19" r:id="rId12"/>
    <hyperlink ref="BB20" r:id="rId13"/>
    <hyperlink ref="BB22" r:id="rId14"/>
    <hyperlink ref="AZ22" r:id="rId15"/>
    <hyperlink ref="AZ24" r:id="rId16"/>
    <hyperlink ref="BB25" r:id="rId17"/>
    <hyperlink ref="AZ25" r:id="rId18"/>
    <hyperlink ref="BZ20" r:id="rId19"/>
    <hyperlink ref="BZ23" r:id="rId20"/>
    <hyperlink ref="BZ35" r:id="rId21"/>
  </hyperlinks>
  <pageMargins left="0.7" right="0.7" top="0.75" bottom="0.75" header="0.3" footer="0.3"/>
  <pageSetup paperSize="9" orientation="portrait" r:id="rId22"/>
  <ignoredErrors>
    <ignoredError sqref="AM88" formula="1"/>
  </ignoredErrors>
  <drawing r:id="rId23"/>
  <legacyDrawing r:id="rId2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0"/>
  <sheetViews>
    <sheetView zoomScale="70" zoomScaleNormal="70" workbookViewId="0">
      <selection activeCell="G40" sqref="G40"/>
    </sheetView>
  </sheetViews>
  <sheetFormatPr defaultRowHeight="17.25" x14ac:dyDescent="0.35"/>
  <cols>
    <col min="2" max="2" width="32.5" customWidth="1"/>
    <col min="3" max="3" width="75.625" customWidth="1"/>
    <col min="5" max="5" width="40.875" customWidth="1"/>
    <col min="6" max="6" width="39.375" customWidth="1"/>
    <col min="9" max="9" width="23.5" customWidth="1"/>
    <col min="10" max="10" width="77.875" customWidth="1"/>
    <col min="13" max="13" width="11.5" customWidth="1"/>
    <col min="14" max="14" width="114" customWidth="1"/>
  </cols>
  <sheetData>
    <row r="1" spans="2:14" x14ac:dyDescent="0.35">
      <c r="B1" s="4" t="s">
        <v>63</v>
      </c>
      <c r="C1" s="4"/>
      <c r="E1" s="2" t="s">
        <v>62</v>
      </c>
      <c r="F1" s="3"/>
    </row>
    <row r="2" spans="2:14" x14ac:dyDescent="0.35">
      <c r="B2" s="5" t="s">
        <v>104</v>
      </c>
      <c r="C2" s="8">
        <v>575</v>
      </c>
      <c r="E2" s="5" t="s">
        <v>61</v>
      </c>
      <c r="F2" s="6" t="s">
        <v>64</v>
      </c>
    </row>
    <row r="3" spans="2:14" x14ac:dyDescent="0.35">
      <c r="B3" s="5" t="s">
        <v>89</v>
      </c>
      <c r="C3" s="5" t="s">
        <v>67</v>
      </c>
      <c r="E3" s="5" t="s">
        <v>100</v>
      </c>
      <c r="F3" s="6">
        <v>1.2</v>
      </c>
    </row>
    <row r="4" spans="2:14" x14ac:dyDescent="0.35">
      <c r="B4" s="5" t="s">
        <v>71</v>
      </c>
      <c r="C4" s="5" t="s">
        <v>68</v>
      </c>
      <c r="E4" s="5" t="s">
        <v>115</v>
      </c>
      <c r="F4" s="6">
        <v>0.08</v>
      </c>
      <c r="M4" s="4" t="s">
        <v>70</v>
      </c>
      <c r="N4" s="7"/>
    </row>
    <row r="5" spans="2:14" x14ac:dyDescent="0.35">
      <c r="B5" s="5" t="s">
        <v>112</v>
      </c>
      <c r="C5" s="5" t="s">
        <v>113</v>
      </c>
      <c r="E5" s="5" t="s">
        <v>103</v>
      </c>
      <c r="F5" s="6">
        <v>9.81</v>
      </c>
      <c r="M5" s="5">
        <v>1</v>
      </c>
      <c r="N5" s="9" t="s">
        <v>69</v>
      </c>
    </row>
    <row r="6" spans="2:14" x14ac:dyDescent="0.35">
      <c r="B6" s="5" t="s">
        <v>74</v>
      </c>
      <c r="C6" s="5" t="s">
        <v>72</v>
      </c>
      <c r="M6" s="5">
        <v>2</v>
      </c>
      <c r="N6" s="31" t="s">
        <v>88</v>
      </c>
    </row>
    <row r="7" spans="2:14" x14ac:dyDescent="0.35">
      <c r="B7" s="5" t="s">
        <v>75</v>
      </c>
      <c r="C7" s="5" t="s">
        <v>73</v>
      </c>
      <c r="M7" s="5">
        <v>3</v>
      </c>
      <c r="N7" s="31" t="s">
        <v>86</v>
      </c>
    </row>
    <row r="8" spans="2:14" x14ac:dyDescent="0.35">
      <c r="B8" s="5" t="s">
        <v>79</v>
      </c>
      <c r="C8" s="5" t="s">
        <v>76</v>
      </c>
      <c r="M8" s="5">
        <v>4</v>
      </c>
      <c r="N8" s="31" t="s">
        <v>87</v>
      </c>
    </row>
    <row r="9" spans="2:14" x14ac:dyDescent="0.35">
      <c r="B9" s="5" t="s">
        <v>80</v>
      </c>
      <c r="C9" s="5" t="s">
        <v>77</v>
      </c>
      <c r="M9" s="5">
        <v>5</v>
      </c>
      <c r="N9" s="5" t="s">
        <v>95</v>
      </c>
    </row>
    <row r="10" spans="2:14" x14ac:dyDescent="0.35">
      <c r="B10" s="5" t="s">
        <v>81</v>
      </c>
      <c r="C10" s="5" t="s">
        <v>78</v>
      </c>
      <c r="M10" s="5">
        <v>6</v>
      </c>
      <c r="N10" s="31" t="s">
        <v>114</v>
      </c>
    </row>
    <row r="11" spans="2:14" x14ac:dyDescent="0.35">
      <c r="B11" s="5" t="s">
        <v>82</v>
      </c>
      <c r="C11" s="5" t="s">
        <v>85</v>
      </c>
    </row>
    <row r="12" spans="2:14" x14ac:dyDescent="0.35">
      <c r="B12" s="5" t="s">
        <v>83</v>
      </c>
      <c r="C12" s="5" t="s">
        <v>84</v>
      </c>
    </row>
    <row r="13" spans="2:14" x14ac:dyDescent="0.35">
      <c r="B13" s="5" t="s">
        <v>101</v>
      </c>
      <c r="C13" s="11">
        <v>1.6597999999999999</v>
      </c>
    </row>
    <row r="14" spans="2:14" x14ac:dyDescent="0.35">
      <c r="B14" s="5" t="s">
        <v>90</v>
      </c>
      <c r="C14" s="10">
        <v>0.35</v>
      </c>
    </row>
    <row r="15" spans="2:14" x14ac:dyDescent="0.35">
      <c r="B15" s="5" t="s">
        <v>125</v>
      </c>
      <c r="C15" s="5" t="s">
        <v>126</v>
      </c>
    </row>
    <row r="16" spans="2:14" x14ac:dyDescent="0.35">
      <c r="B16" s="5" t="s">
        <v>127</v>
      </c>
      <c r="C16" s="5" t="s">
        <v>128</v>
      </c>
    </row>
    <row r="17" spans="2:3" x14ac:dyDescent="0.35">
      <c r="B17" s="5" t="s">
        <v>129</v>
      </c>
      <c r="C17" s="5" t="s">
        <v>130</v>
      </c>
    </row>
    <row r="18" spans="2:3" x14ac:dyDescent="0.35">
      <c r="B18" s="5" t="s">
        <v>133</v>
      </c>
      <c r="C18" s="10" t="s">
        <v>132</v>
      </c>
    </row>
    <row r="19" spans="2:3" x14ac:dyDescent="0.35">
      <c r="B19" s="5" t="s">
        <v>65</v>
      </c>
      <c r="C19" s="5" t="s">
        <v>131</v>
      </c>
    </row>
    <row r="20" spans="2:3" x14ac:dyDescent="0.35">
      <c r="B20" s="5" t="s">
        <v>66</v>
      </c>
      <c r="C20" s="8" t="s">
        <v>91</v>
      </c>
    </row>
    <row r="21" spans="2:3" x14ac:dyDescent="0.35">
      <c r="B21" s="5" t="s">
        <v>93</v>
      </c>
      <c r="C21" s="8" t="s">
        <v>92</v>
      </c>
    </row>
    <row r="22" spans="2:3" x14ac:dyDescent="0.35">
      <c r="B22" s="5" t="s">
        <v>98</v>
      </c>
      <c r="C22" s="8" t="s">
        <v>97</v>
      </c>
    </row>
    <row r="29" spans="2:3" x14ac:dyDescent="0.35">
      <c r="C29" s="1"/>
    </row>
    <row r="30" spans="2:3" x14ac:dyDescent="0.35">
      <c r="C30" s="1"/>
    </row>
    <row r="31" spans="2:3" x14ac:dyDescent="0.35">
      <c r="C31" s="1"/>
    </row>
    <row r="32" spans="2:3" x14ac:dyDescent="0.35">
      <c r="C32" s="1"/>
    </row>
    <row r="33" spans="3:3" x14ac:dyDescent="0.35">
      <c r="C33" s="1"/>
    </row>
    <row r="34" spans="3:3" x14ac:dyDescent="0.35">
      <c r="C34" s="1"/>
    </row>
    <row r="35" spans="3:3" x14ac:dyDescent="0.35">
      <c r="C35" s="1"/>
    </row>
    <row r="36" spans="3:3" x14ac:dyDescent="0.35">
      <c r="C36" s="1"/>
    </row>
    <row r="37" spans="3:3" x14ac:dyDescent="0.35">
      <c r="C37" s="1"/>
    </row>
    <row r="38" spans="3:3" x14ac:dyDescent="0.35">
      <c r="C38" s="1"/>
    </row>
    <row r="39" spans="3:3" x14ac:dyDescent="0.35">
      <c r="C39" s="1"/>
    </row>
    <row r="40" spans="3:3" x14ac:dyDescent="0.35">
      <c r="C40" s="1"/>
    </row>
  </sheetData>
  <hyperlinks>
    <hyperlink ref="N5" r:id="rId1"/>
    <hyperlink ref="N8" r:id="rId2"/>
    <hyperlink ref="N10" r:id="rId3"/>
    <hyperlink ref="N7" r:id="rId4"/>
    <hyperlink ref="N6" r:id="rId5"/>
  </hyperlinks>
  <pageMargins left="0.7" right="0.7" top="0.75" bottom="0.75" header="0.3" footer="0.3"/>
  <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F119"/>
  <sheetViews>
    <sheetView zoomScaleNormal="100" workbookViewId="0">
      <selection activeCell="B2" sqref="B2"/>
    </sheetView>
  </sheetViews>
  <sheetFormatPr defaultRowHeight="17.25" x14ac:dyDescent="0.35"/>
  <cols>
    <col min="1" max="1" width="13.25" customWidth="1"/>
    <col min="2" max="2" width="30" customWidth="1"/>
    <col min="3" max="3" width="15.875" style="1" customWidth="1"/>
    <col min="4" max="4" width="11.875" customWidth="1"/>
    <col min="5" max="5" width="23.5" customWidth="1"/>
    <col min="6" max="6" width="112.375" customWidth="1"/>
    <col min="7" max="7" width="11" customWidth="1"/>
    <col min="10" max="10" width="62.875" customWidth="1"/>
    <col min="11" max="11" width="16.875" customWidth="1"/>
    <col min="12" max="12" width="15.875" customWidth="1"/>
    <col min="13" max="13" width="13.625" customWidth="1"/>
    <col min="14" max="15" width="19.75" customWidth="1"/>
    <col min="16" max="16" width="17.5" customWidth="1"/>
    <col min="17" max="17" width="12.75" customWidth="1"/>
    <col min="18" max="18" width="13.375" customWidth="1"/>
    <col min="19" max="19" width="14.375" customWidth="1"/>
    <col min="20" max="20" width="13.75" customWidth="1"/>
    <col min="21" max="21" width="16.625" customWidth="1"/>
    <col min="22" max="22" width="23.5" customWidth="1"/>
    <col min="23" max="23" width="30.5" customWidth="1"/>
    <col min="24" max="24" width="17.5" customWidth="1"/>
    <col min="25" max="25" width="21.875" customWidth="1"/>
    <col min="26" max="26" width="23" customWidth="1"/>
    <col min="27" max="27" width="27.375" customWidth="1"/>
    <col min="28" max="28" width="15.625" customWidth="1"/>
    <col min="29" max="29" width="22.5" customWidth="1"/>
    <col min="30" max="30" width="27" customWidth="1"/>
    <col min="31" max="31" width="24" customWidth="1"/>
    <col min="32" max="32" width="21.875" customWidth="1"/>
    <col min="34" max="34" width="29" customWidth="1"/>
  </cols>
  <sheetData>
    <row r="3" spans="2:32" x14ac:dyDescent="0.35">
      <c r="K3" s="1"/>
      <c r="L3" s="1"/>
    </row>
    <row r="4" spans="2:32" ht="18" x14ac:dyDescent="0.35">
      <c r="B4" s="2" t="s">
        <v>62</v>
      </c>
      <c r="C4" s="3"/>
      <c r="E4" s="4" t="s">
        <v>63</v>
      </c>
      <c r="F4" s="4"/>
      <c r="J4" s="23" t="s">
        <v>94</v>
      </c>
      <c r="K4" s="24" t="s">
        <v>0</v>
      </c>
      <c r="L4" s="24" t="s">
        <v>110</v>
      </c>
      <c r="M4" s="23" t="s">
        <v>27</v>
      </c>
      <c r="N4" s="23" t="s">
        <v>28</v>
      </c>
      <c r="O4" s="23" t="s">
        <v>28</v>
      </c>
      <c r="P4" s="23" t="s">
        <v>105</v>
      </c>
      <c r="Q4" s="23" t="s">
        <v>58</v>
      </c>
      <c r="R4" s="25" t="s">
        <v>96</v>
      </c>
      <c r="S4" s="25" t="s">
        <v>106</v>
      </c>
      <c r="T4" s="25" t="s">
        <v>99</v>
      </c>
      <c r="U4" s="25" t="s">
        <v>142</v>
      </c>
      <c r="V4" s="25" t="s">
        <v>107</v>
      </c>
      <c r="W4" s="25" t="s">
        <v>109</v>
      </c>
      <c r="X4" s="23" t="s">
        <v>141</v>
      </c>
      <c r="Y4" s="23" t="s">
        <v>140</v>
      </c>
      <c r="Z4" s="25" t="s">
        <v>111</v>
      </c>
      <c r="AA4" s="25" t="s">
        <v>143</v>
      </c>
      <c r="AB4" s="25" t="s">
        <v>102</v>
      </c>
      <c r="AC4" s="25" t="s">
        <v>139</v>
      </c>
      <c r="AD4" s="25" t="s">
        <v>138</v>
      </c>
      <c r="AE4" s="25" t="s">
        <v>137</v>
      </c>
      <c r="AF4" s="25" t="s">
        <v>136</v>
      </c>
    </row>
    <row r="5" spans="2:32" x14ac:dyDescent="0.35">
      <c r="B5" s="5" t="s">
        <v>61</v>
      </c>
      <c r="C5" s="6" t="s">
        <v>64</v>
      </c>
      <c r="E5" s="5" t="s">
        <v>135</v>
      </c>
      <c r="F5" s="8">
        <v>575</v>
      </c>
      <c r="J5" s="13" t="s">
        <v>29</v>
      </c>
      <c r="K5" s="14">
        <v>0</v>
      </c>
      <c r="L5" s="14">
        <v>0</v>
      </c>
      <c r="M5" s="13">
        <v>0</v>
      </c>
      <c r="N5" s="13">
        <v>0</v>
      </c>
      <c r="O5" s="13">
        <v>0</v>
      </c>
      <c r="P5" s="13">
        <f>O5+8</f>
        <v>8</v>
      </c>
      <c r="Q5" s="13">
        <v>0</v>
      </c>
      <c r="R5" s="13">
        <v>0</v>
      </c>
      <c r="S5" s="13"/>
      <c r="T5" s="13">
        <v>0</v>
      </c>
      <c r="U5" s="13">
        <v>53.644799999999996</v>
      </c>
      <c r="V5" s="13">
        <v>0</v>
      </c>
      <c r="W5" s="13">
        <v>0</v>
      </c>
      <c r="X5" s="13">
        <v>0</v>
      </c>
      <c r="Y5" s="13">
        <v>7.6639999999999997</v>
      </c>
      <c r="Z5" s="13">
        <v>0</v>
      </c>
      <c r="AA5" s="13">
        <f t="shared" ref="AA5:AA31" si="0">0.5*$C$6*$F$17*$F$16*T5*T5</f>
        <v>0</v>
      </c>
      <c r="AB5" s="13">
        <f>$F$5*$C$8*$C$7</f>
        <v>451.26</v>
      </c>
      <c r="AC5" s="13">
        <f>$F$5*$C$8*SIN(Q5)</f>
        <v>0</v>
      </c>
      <c r="AD5" s="13">
        <f>AA5+AB5</f>
        <v>451.26</v>
      </c>
      <c r="AE5" s="13">
        <f t="shared" ref="AE5:AE31" si="1">AD5*T5</f>
        <v>0</v>
      </c>
      <c r="AF5" s="13">
        <f>147200-AE5</f>
        <v>147200</v>
      </c>
    </row>
    <row r="6" spans="2:32" x14ac:dyDescent="0.35">
      <c r="B6" s="5" t="s">
        <v>134</v>
      </c>
      <c r="C6" s="6">
        <v>1.2</v>
      </c>
      <c r="E6" s="5" t="s">
        <v>89</v>
      </c>
      <c r="F6" s="5" t="s">
        <v>67</v>
      </c>
      <c r="J6" s="13" t="s">
        <v>30</v>
      </c>
      <c r="K6" s="14" t="s">
        <v>2</v>
      </c>
      <c r="L6" s="14">
        <v>1</v>
      </c>
      <c r="M6" s="13">
        <v>54</v>
      </c>
      <c r="N6" s="13">
        <v>6.7</v>
      </c>
      <c r="O6" s="13">
        <v>6.7</v>
      </c>
      <c r="P6" s="13">
        <f>P5+O6</f>
        <v>14.7</v>
      </c>
      <c r="Q6" s="13">
        <f>DEGREES(ASIN(O6/M6))</f>
        <v>7.1272878819970913</v>
      </c>
      <c r="R6" s="13">
        <f>-Q5+Q6</f>
        <v>7.1272878819970913</v>
      </c>
      <c r="S6" s="13">
        <v>40</v>
      </c>
      <c r="T6" s="13">
        <f>S6/2.237</f>
        <v>17.881090746535538</v>
      </c>
      <c r="U6" s="13">
        <v>53.644799999999996</v>
      </c>
      <c r="V6" s="13">
        <f t="shared" ref="V6:V31" si="2">M6/T6</f>
        <v>3.0199500000000001</v>
      </c>
      <c r="W6" s="13">
        <f t="shared" ref="W6:W31" si="3">W5+V6</f>
        <v>3.0199500000000001</v>
      </c>
      <c r="X6" s="13">
        <f t="shared" ref="X6:X26" si="4">-(T5-T6)/V6</f>
        <v>5.9209890052933121</v>
      </c>
      <c r="Y6" s="13">
        <v>7.6639999999999997</v>
      </c>
      <c r="Z6" s="13">
        <f>IF(X6&gt;X5,1,0)</f>
        <v>1</v>
      </c>
      <c r="AA6" s="13">
        <f t="shared" si="0"/>
        <v>111.44563662817941</v>
      </c>
      <c r="AB6" s="13">
        <f>$F$5*$C$8*$C$7</f>
        <v>451.26</v>
      </c>
      <c r="AC6" s="13">
        <f>$F$5*$C$8*(SIN(Q6))</f>
        <v>4215.7564444320333</v>
      </c>
      <c r="AD6" s="13">
        <f>AA6+AB6+AC6</f>
        <v>4778.4620810602128</v>
      </c>
      <c r="AE6" s="13">
        <f t="shared" si="1"/>
        <v>85444.114100316714</v>
      </c>
      <c r="AF6" s="13">
        <f t="shared" ref="AF6:AF31" si="5">147200-AE6</f>
        <v>61755.885899683286</v>
      </c>
    </row>
    <row r="7" spans="2:32" x14ac:dyDescent="0.35">
      <c r="B7" s="5" t="s">
        <v>115</v>
      </c>
      <c r="C7" s="6">
        <v>0.08</v>
      </c>
      <c r="E7" s="5" t="s">
        <v>71</v>
      </c>
      <c r="F7" s="5" t="s">
        <v>68</v>
      </c>
      <c r="J7" s="13" t="s">
        <v>30</v>
      </c>
      <c r="K7" s="15" t="s">
        <v>1</v>
      </c>
      <c r="L7" s="14">
        <v>2</v>
      </c>
      <c r="M7" s="13">
        <v>66</v>
      </c>
      <c r="N7" s="13">
        <v>4.8</v>
      </c>
      <c r="O7" s="13">
        <v>4.8</v>
      </c>
      <c r="P7" s="13">
        <f t="shared" ref="P7:P31" si="6">P6+O7</f>
        <v>19.5</v>
      </c>
      <c r="Q7" s="13">
        <f t="shared" ref="Q7:Q26" si="7">DEGREES(ASIN(O7/M7))</f>
        <v>4.1706479118615389</v>
      </c>
      <c r="R7" s="13">
        <f t="shared" ref="R7:R31" si="8">-Q6+Q7</f>
        <v>-2.9566399701355524</v>
      </c>
      <c r="S7" s="13">
        <v>35</v>
      </c>
      <c r="T7" s="13">
        <f t="shared" ref="T7:T31" si="9">S7/2.237</f>
        <v>15.645954403218596</v>
      </c>
      <c r="U7" s="13">
        <v>53.644799999999996</v>
      </c>
      <c r="V7" s="13">
        <f t="shared" si="2"/>
        <v>4.2183428571428569</v>
      </c>
      <c r="W7" s="13">
        <f t="shared" si="3"/>
        <v>7.2382928571428575</v>
      </c>
      <c r="X7" s="13">
        <f t="shared" si="4"/>
        <v>-0.52986123200778212</v>
      </c>
      <c r="Y7" s="13">
        <v>7.6639999999999997</v>
      </c>
      <c r="Z7" s="13">
        <f t="shared" ref="Z7:Z31" si="10">IF(X7&gt;X6,1,0)</f>
        <v>0</v>
      </c>
      <c r="AA7" s="13">
        <f t="shared" si="0"/>
        <v>85.325565543449869</v>
      </c>
      <c r="AB7" s="13">
        <f>$F$5*$C$8*$C$7</f>
        <v>451.26</v>
      </c>
      <c r="AC7" s="13">
        <f t="shared" ref="AC7:AC31" si="11">$F$5*$C$8*SIN(DEGREES(Q7))</f>
        <v>1117.7775139003866</v>
      </c>
      <c r="AD7" s="13">
        <f t="shared" ref="AD7:AD31" si="12">AA7+AB7+AC7</f>
        <v>1654.3630794438363</v>
      </c>
      <c r="AE7" s="13">
        <f t="shared" si="1"/>
        <v>25884.089307346567</v>
      </c>
      <c r="AF7" s="13">
        <f t="shared" si="5"/>
        <v>121315.91069265343</v>
      </c>
    </row>
    <row r="8" spans="2:32" x14ac:dyDescent="0.35">
      <c r="B8" s="5" t="s">
        <v>103</v>
      </c>
      <c r="C8" s="6">
        <v>9.81</v>
      </c>
      <c r="E8" s="5" t="s">
        <v>112</v>
      </c>
      <c r="F8" s="5" t="s">
        <v>113</v>
      </c>
      <c r="J8" s="13" t="s">
        <v>31</v>
      </c>
      <c r="K8" s="14" t="s">
        <v>3</v>
      </c>
      <c r="L8" s="14">
        <v>3</v>
      </c>
      <c r="M8" s="13">
        <v>42</v>
      </c>
      <c r="N8" s="13">
        <v>-2.7</v>
      </c>
      <c r="O8" s="13">
        <v>-2.9</v>
      </c>
      <c r="P8" s="13">
        <f t="shared" si="6"/>
        <v>16.600000000000001</v>
      </c>
      <c r="Q8" s="13">
        <f t="shared" si="7"/>
        <v>-3.9592874494513626</v>
      </c>
      <c r="R8" s="13">
        <f t="shared" si="8"/>
        <v>-8.1299353613129011</v>
      </c>
      <c r="S8" s="13">
        <v>20</v>
      </c>
      <c r="T8" s="13">
        <f t="shared" si="9"/>
        <v>8.9405453732677689</v>
      </c>
      <c r="U8" s="13">
        <v>53.644799999999996</v>
      </c>
      <c r="V8" s="13">
        <f t="shared" si="2"/>
        <v>4.6977000000000002</v>
      </c>
      <c r="W8" s="13">
        <f t="shared" si="3"/>
        <v>11.935992857142857</v>
      </c>
      <c r="X8" s="13">
        <f t="shared" si="4"/>
        <v>-1.4273812780617807</v>
      </c>
      <c r="Y8" s="13">
        <v>7.6639999999999997</v>
      </c>
      <c r="Z8" s="13">
        <f t="shared" si="10"/>
        <v>0</v>
      </c>
      <c r="AA8" s="13">
        <f t="shared" si="0"/>
        <v>27.861409157044854</v>
      </c>
      <c r="AB8" s="13">
        <f t="shared" ref="AB8:AB31" si="13">$F$5*$C$8*$C$7</f>
        <v>451.26</v>
      </c>
      <c r="AC8" s="13">
        <f t="shared" si="11"/>
        <v>-3439.6464469519779</v>
      </c>
      <c r="AD8" s="13">
        <f>AA8+AB8+AC8</f>
        <v>-2960.5250377949328</v>
      </c>
      <c r="AE8" s="13">
        <f t="shared" si="1"/>
        <v>-26468.708429100872</v>
      </c>
      <c r="AF8" s="13">
        <f t="shared" si="5"/>
        <v>173668.70842910087</v>
      </c>
    </row>
    <row r="9" spans="2:32" x14ac:dyDescent="0.35">
      <c r="B9" s="5"/>
      <c r="C9" s="6"/>
      <c r="E9" s="5" t="s">
        <v>74</v>
      </c>
      <c r="F9" s="5" t="s">
        <v>72</v>
      </c>
      <c r="J9" s="13" t="s">
        <v>32</v>
      </c>
      <c r="K9" s="14" t="s">
        <v>4</v>
      </c>
      <c r="L9" s="14">
        <v>4</v>
      </c>
      <c r="M9" s="13">
        <v>14</v>
      </c>
      <c r="N9" s="13">
        <v>-0.8</v>
      </c>
      <c r="O9" s="13">
        <v>-1</v>
      </c>
      <c r="P9" s="13">
        <f t="shared" si="6"/>
        <v>15.600000000000001</v>
      </c>
      <c r="Q9" s="13">
        <f t="shared" si="7"/>
        <v>-4.0960437581523328</v>
      </c>
      <c r="R9" s="13">
        <f t="shared" si="8"/>
        <v>-0.13675630870097022</v>
      </c>
      <c r="S9" s="13">
        <v>10</v>
      </c>
      <c r="T9" s="13">
        <f t="shared" si="9"/>
        <v>4.4702726866338844</v>
      </c>
      <c r="U9" s="13">
        <v>53.644799999999996</v>
      </c>
      <c r="V9" s="13">
        <f t="shared" si="2"/>
        <v>3.1318000000000001</v>
      </c>
      <c r="W9" s="13">
        <f t="shared" si="3"/>
        <v>15.067792857142857</v>
      </c>
      <c r="X9" s="13">
        <f t="shared" si="4"/>
        <v>-1.4273812780617805</v>
      </c>
      <c r="Y9" s="13">
        <v>7.6639999999999997</v>
      </c>
      <c r="Z9" s="13">
        <f t="shared" si="10"/>
        <v>0</v>
      </c>
      <c r="AA9" s="13">
        <f t="shared" si="0"/>
        <v>6.9653522892612134</v>
      </c>
      <c r="AB9" s="13">
        <f t="shared" si="13"/>
        <v>451.26</v>
      </c>
      <c r="AC9" s="13">
        <f t="shared" si="11"/>
        <v>-4533.2743792821375</v>
      </c>
      <c r="AD9" s="13">
        <f t="shared" si="12"/>
        <v>-4075.0490269928764</v>
      </c>
      <c r="AE9" s="13">
        <f t="shared" si="1"/>
        <v>-18216.580362060242</v>
      </c>
      <c r="AF9" s="13">
        <f t="shared" si="5"/>
        <v>165416.58036206025</v>
      </c>
    </row>
    <row r="10" spans="2:32" x14ac:dyDescent="0.35">
      <c r="B10" s="5"/>
      <c r="C10" s="6"/>
      <c r="E10" s="5" t="s">
        <v>75</v>
      </c>
      <c r="F10" s="5" t="s">
        <v>73</v>
      </c>
      <c r="J10" s="13" t="s">
        <v>33</v>
      </c>
      <c r="K10" s="14" t="s">
        <v>5</v>
      </c>
      <c r="L10" s="14">
        <v>5</v>
      </c>
      <c r="M10" s="13">
        <v>5</v>
      </c>
      <c r="N10" s="13">
        <v>-0.5</v>
      </c>
      <c r="O10" s="13">
        <v>-0.7</v>
      </c>
      <c r="P10" s="13">
        <f t="shared" si="6"/>
        <v>14.900000000000002</v>
      </c>
      <c r="Q10" s="13">
        <f t="shared" si="7"/>
        <v>-8.0478462473115151</v>
      </c>
      <c r="R10" s="13">
        <f t="shared" si="8"/>
        <v>-3.9518024891591823</v>
      </c>
      <c r="S10" s="13">
        <v>5</v>
      </c>
      <c r="T10" s="13">
        <f t="shared" si="9"/>
        <v>2.2351363433169422</v>
      </c>
      <c r="U10" s="13">
        <v>53.644799999999996</v>
      </c>
      <c r="V10" s="13">
        <f t="shared" si="2"/>
        <v>2.2370000000000001</v>
      </c>
      <c r="W10" s="13">
        <f t="shared" si="3"/>
        <v>17.304792857142857</v>
      </c>
      <c r="X10" s="13">
        <f t="shared" si="4"/>
        <v>-0.99916689464324637</v>
      </c>
      <c r="Y10" s="13">
        <v>7.6639999999999997</v>
      </c>
      <c r="Z10" s="13">
        <f t="shared" si="10"/>
        <v>1</v>
      </c>
      <c r="AA10" s="13">
        <f t="shared" si="0"/>
        <v>1.7413380723153034</v>
      </c>
      <c r="AB10" s="13">
        <f t="shared" si="13"/>
        <v>451.26</v>
      </c>
      <c r="AC10" s="13">
        <f t="shared" si="11"/>
        <v>-3661.8193652087671</v>
      </c>
      <c r="AD10" s="13">
        <f t="shared" si="12"/>
        <v>-3208.8180271364517</v>
      </c>
      <c r="AE10" s="13">
        <f t="shared" si="1"/>
        <v>-7172.1457915432538</v>
      </c>
      <c r="AF10" s="13">
        <f t="shared" si="5"/>
        <v>154372.14579154324</v>
      </c>
    </row>
    <row r="11" spans="2:32" x14ac:dyDescent="0.35">
      <c r="B11" s="5"/>
      <c r="C11" s="6"/>
      <c r="E11" s="5" t="s">
        <v>79</v>
      </c>
      <c r="F11" s="5" t="s">
        <v>76</v>
      </c>
      <c r="J11" s="13" t="s">
        <v>34</v>
      </c>
      <c r="K11" s="16" t="s">
        <v>6</v>
      </c>
      <c r="L11" s="16">
        <v>6</v>
      </c>
      <c r="M11" s="17">
        <v>6</v>
      </c>
      <c r="N11" s="17" t="s">
        <v>52</v>
      </c>
      <c r="O11" s="17">
        <v>-1.5</v>
      </c>
      <c r="P11" s="17">
        <f t="shared" si="6"/>
        <v>13.400000000000002</v>
      </c>
      <c r="Q11" s="17">
        <f t="shared" si="7"/>
        <v>-14.477512185929925</v>
      </c>
      <c r="R11" s="17">
        <f t="shared" si="8"/>
        <v>-6.4296659386184096</v>
      </c>
      <c r="S11" s="17">
        <v>2</v>
      </c>
      <c r="T11" s="17">
        <f t="shared" si="9"/>
        <v>0.89405453732677687</v>
      </c>
      <c r="U11" s="17">
        <v>53.644799999999996</v>
      </c>
      <c r="V11" s="17">
        <f t="shared" si="2"/>
        <v>6.7110000000000003</v>
      </c>
      <c r="W11" s="17">
        <f t="shared" si="3"/>
        <v>24.015792857142856</v>
      </c>
      <c r="X11" s="17">
        <f t="shared" si="4"/>
        <v>-0.19983337892864925</v>
      </c>
      <c r="Y11" s="32">
        <v>7.6639999999999997</v>
      </c>
      <c r="Z11" s="17">
        <f t="shared" si="10"/>
        <v>1</v>
      </c>
      <c r="AA11" s="17">
        <f t="shared" si="0"/>
        <v>0.27861409157044853</v>
      </c>
      <c r="AB11" s="17">
        <f t="shared" si="13"/>
        <v>451.26</v>
      </c>
      <c r="AC11" s="17">
        <f t="shared" si="11"/>
        <v>-674.6257173053757</v>
      </c>
      <c r="AD11" s="17">
        <f t="shared" si="12"/>
        <v>-223.08710321380528</v>
      </c>
      <c r="AE11" s="17">
        <f t="shared" si="1"/>
        <v>-199.45203684738959</v>
      </c>
      <c r="AF11" s="17">
        <f t="shared" si="5"/>
        <v>147399.45203684739</v>
      </c>
    </row>
    <row r="12" spans="2:32" x14ac:dyDescent="0.35">
      <c r="B12" s="5"/>
      <c r="C12" s="6"/>
      <c r="E12" s="5" t="s">
        <v>80</v>
      </c>
      <c r="F12" s="5" t="s">
        <v>77</v>
      </c>
      <c r="J12" s="13" t="s">
        <v>35</v>
      </c>
      <c r="K12" s="16" t="s">
        <v>7</v>
      </c>
      <c r="L12" s="16">
        <v>7</v>
      </c>
      <c r="M12" s="17">
        <v>6</v>
      </c>
      <c r="N12" s="17" t="s">
        <v>53</v>
      </c>
      <c r="O12" s="17">
        <v>0</v>
      </c>
      <c r="P12" s="17">
        <f t="shared" si="6"/>
        <v>13.400000000000002</v>
      </c>
      <c r="Q12" s="17">
        <f t="shared" si="7"/>
        <v>0</v>
      </c>
      <c r="R12" s="17">
        <f t="shared" si="8"/>
        <v>14.477512185929925</v>
      </c>
      <c r="S12" s="17">
        <v>3</v>
      </c>
      <c r="T12" s="17">
        <f t="shared" si="9"/>
        <v>1.3410818059901652</v>
      </c>
      <c r="U12" s="17">
        <v>53.644799999999996</v>
      </c>
      <c r="V12" s="17">
        <f t="shared" si="2"/>
        <v>4.4740000000000002</v>
      </c>
      <c r="W12" s="17">
        <f t="shared" si="3"/>
        <v>28.489792857142856</v>
      </c>
      <c r="X12" s="17">
        <f t="shared" si="4"/>
        <v>9.9916689464324623E-2</v>
      </c>
      <c r="Y12" s="32">
        <v>7.6639999999999997</v>
      </c>
      <c r="Z12" s="17">
        <f t="shared" si="10"/>
        <v>1</v>
      </c>
      <c r="AA12" s="17">
        <f t="shared" si="0"/>
        <v>0.62688170603350912</v>
      </c>
      <c r="AB12" s="17">
        <f t="shared" si="13"/>
        <v>451.26</v>
      </c>
      <c r="AC12" s="17">
        <f t="shared" si="11"/>
        <v>0</v>
      </c>
      <c r="AD12" s="17">
        <f t="shared" si="12"/>
        <v>451.88688170603348</v>
      </c>
      <c r="AE12" s="17">
        <f t="shared" si="1"/>
        <v>606.01727542159153</v>
      </c>
      <c r="AF12" s="17">
        <f t="shared" si="5"/>
        <v>146593.98272457841</v>
      </c>
    </row>
    <row r="13" spans="2:32" x14ac:dyDescent="0.35">
      <c r="B13" s="5"/>
      <c r="C13" s="6"/>
      <c r="E13" s="5" t="s">
        <v>81</v>
      </c>
      <c r="F13" s="5" t="s">
        <v>78</v>
      </c>
      <c r="J13" s="13" t="s">
        <v>36</v>
      </c>
      <c r="K13" s="14" t="s">
        <v>8</v>
      </c>
      <c r="L13" s="14">
        <v>8</v>
      </c>
      <c r="M13" s="13">
        <v>69</v>
      </c>
      <c r="N13" s="13">
        <v>-8.8000000000000007</v>
      </c>
      <c r="O13" s="13">
        <v>-9</v>
      </c>
      <c r="P13" s="13">
        <f t="shared" si="6"/>
        <v>4.4000000000000021</v>
      </c>
      <c r="Q13" s="13">
        <f t="shared" si="7"/>
        <v>-7.4947174539266861</v>
      </c>
      <c r="R13" s="13">
        <f t="shared" si="8"/>
        <v>-7.4947174539266861</v>
      </c>
      <c r="S13" s="13">
        <v>30</v>
      </c>
      <c r="T13" s="13">
        <f t="shared" si="9"/>
        <v>13.410818059901654</v>
      </c>
      <c r="U13" s="13">
        <v>53.644799999999996</v>
      </c>
      <c r="V13" s="13">
        <f t="shared" si="2"/>
        <v>5.1451000000000002</v>
      </c>
      <c r="W13" s="13">
        <f t="shared" si="3"/>
        <v>33.634892857142859</v>
      </c>
      <c r="X13" s="13">
        <f t="shared" si="4"/>
        <v>2.3458701004667528</v>
      </c>
      <c r="Y13" s="13">
        <v>7.6639999999999997</v>
      </c>
      <c r="Z13" s="13">
        <f t="shared" si="10"/>
        <v>1</v>
      </c>
      <c r="AA13" s="13">
        <f t="shared" si="0"/>
        <v>62.688170603350926</v>
      </c>
      <c r="AB13" s="13">
        <f t="shared" si="13"/>
        <v>451.26</v>
      </c>
      <c r="AC13" s="13">
        <f t="shared" si="11"/>
        <v>-4692.5147501134306</v>
      </c>
      <c r="AD13" s="13">
        <f t="shared" si="12"/>
        <v>-4178.5665795100795</v>
      </c>
      <c r="AE13" s="13">
        <f t="shared" si="1"/>
        <v>-56037.996148995255</v>
      </c>
      <c r="AF13" s="13">
        <f t="shared" si="5"/>
        <v>203237.99614899524</v>
      </c>
    </row>
    <row r="14" spans="2:32" x14ac:dyDescent="0.35">
      <c r="B14" s="5"/>
      <c r="C14" s="6"/>
      <c r="E14" s="5" t="s">
        <v>82</v>
      </c>
      <c r="F14" s="5" t="s">
        <v>85</v>
      </c>
      <c r="J14" s="13" t="s">
        <v>37</v>
      </c>
      <c r="K14" s="14" t="s">
        <v>9</v>
      </c>
      <c r="L14" s="14">
        <v>9</v>
      </c>
      <c r="M14" s="13">
        <v>25</v>
      </c>
      <c r="N14" s="13">
        <v>-3</v>
      </c>
      <c r="O14" s="13">
        <v>-3.2</v>
      </c>
      <c r="P14" s="13">
        <f t="shared" si="6"/>
        <v>1.200000000000002</v>
      </c>
      <c r="Q14" s="13">
        <f t="shared" si="7"/>
        <v>-7.3540352103988331</v>
      </c>
      <c r="R14" s="13">
        <f t="shared" si="8"/>
        <v>0.14068224352785297</v>
      </c>
      <c r="S14" s="13">
        <v>20</v>
      </c>
      <c r="T14" s="13">
        <f t="shared" si="9"/>
        <v>8.9405453732677689</v>
      </c>
      <c r="U14" s="13">
        <v>53.644799999999996</v>
      </c>
      <c r="V14" s="13">
        <f t="shared" si="2"/>
        <v>2.7962500000000001</v>
      </c>
      <c r="W14" s="13">
        <f t="shared" si="3"/>
        <v>36.431142857142859</v>
      </c>
      <c r="X14" s="13">
        <f t="shared" si="4"/>
        <v>-1.5986670314291944</v>
      </c>
      <c r="Y14" s="13">
        <v>7.6639999999999997</v>
      </c>
      <c r="Z14" s="13">
        <f t="shared" si="10"/>
        <v>0</v>
      </c>
      <c r="AA14" s="13">
        <f t="shared" si="0"/>
        <v>27.861409157044854</v>
      </c>
      <c r="AB14" s="13">
        <f t="shared" si="13"/>
        <v>451.26</v>
      </c>
      <c r="AC14" s="13">
        <f t="shared" si="11"/>
        <v>-2101.5087666007935</v>
      </c>
      <c r="AD14" s="13">
        <f t="shared" si="12"/>
        <v>-1622.3873574437487</v>
      </c>
      <c r="AE14" s="13">
        <f t="shared" si="1"/>
        <v>-14505.027782241828</v>
      </c>
      <c r="AF14" s="13">
        <f t="shared" si="5"/>
        <v>161705.02778224181</v>
      </c>
    </row>
    <row r="15" spans="2:32" x14ac:dyDescent="0.35">
      <c r="B15" s="5"/>
      <c r="C15" s="6"/>
      <c r="E15" s="5" t="s">
        <v>83</v>
      </c>
      <c r="F15" s="5" t="s">
        <v>84</v>
      </c>
      <c r="J15" s="13" t="s">
        <v>39</v>
      </c>
      <c r="K15" s="14" t="s">
        <v>10</v>
      </c>
      <c r="L15" s="14">
        <v>10</v>
      </c>
      <c r="M15" s="13">
        <v>20</v>
      </c>
      <c r="N15" s="13" t="s">
        <v>54</v>
      </c>
      <c r="O15" s="13">
        <v>0</v>
      </c>
      <c r="P15" s="13">
        <f t="shared" si="6"/>
        <v>1.200000000000002</v>
      </c>
      <c r="Q15" s="13">
        <f t="shared" si="7"/>
        <v>0</v>
      </c>
      <c r="R15" s="13">
        <f t="shared" si="8"/>
        <v>7.3540352103988331</v>
      </c>
      <c r="S15" s="13">
        <v>15</v>
      </c>
      <c r="T15" s="13">
        <f t="shared" si="9"/>
        <v>6.7054090299508271</v>
      </c>
      <c r="U15" s="13">
        <v>53.644799999999996</v>
      </c>
      <c r="V15" s="13">
        <f t="shared" si="2"/>
        <v>2.9826666666666668</v>
      </c>
      <c r="W15" s="13">
        <f t="shared" si="3"/>
        <v>39.413809523809526</v>
      </c>
      <c r="X15" s="13">
        <f t="shared" si="4"/>
        <v>-0.74937517098243467</v>
      </c>
      <c r="Y15" s="13">
        <v>7.6639999999999997</v>
      </c>
      <c r="Z15" s="13">
        <f t="shared" si="10"/>
        <v>1</v>
      </c>
      <c r="AA15" s="13">
        <f t="shared" si="0"/>
        <v>15.672042650837732</v>
      </c>
      <c r="AB15" s="13">
        <f t="shared" si="13"/>
        <v>451.26</v>
      </c>
      <c r="AC15" s="13">
        <f t="shared" si="11"/>
        <v>0</v>
      </c>
      <c r="AD15" s="13">
        <f t="shared" si="12"/>
        <v>466.93204265083773</v>
      </c>
      <c r="AE15" s="13">
        <f t="shared" si="1"/>
        <v>3130.970335164312</v>
      </c>
      <c r="AF15" s="13">
        <f t="shared" si="5"/>
        <v>144069.02966483569</v>
      </c>
    </row>
    <row r="16" spans="2:32" x14ac:dyDescent="0.35">
      <c r="B16" s="5"/>
      <c r="C16" s="6"/>
      <c r="E16" s="5" t="s">
        <v>101</v>
      </c>
      <c r="F16" s="11">
        <v>1.6597999999999999</v>
      </c>
      <c r="J16" s="13" t="s">
        <v>38</v>
      </c>
      <c r="K16" s="14" t="s">
        <v>11</v>
      </c>
      <c r="L16" s="14">
        <v>11</v>
      </c>
      <c r="M16" s="13">
        <v>53</v>
      </c>
      <c r="N16" s="13">
        <v>6.8</v>
      </c>
      <c r="O16" s="13">
        <v>6.8</v>
      </c>
      <c r="P16" s="13">
        <f t="shared" si="6"/>
        <v>8.0000000000000018</v>
      </c>
      <c r="Q16" s="13">
        <f t="shared" si="7"/>
        <v>7.3714758533336164</v>
      </c>
      <c r="R16" s="13">
        <f t="shared" si="8"/>
        <v>7.3714758533336164</v>
      </c>
      <c r="S16" s="13">
        <v>40</v>
      </c>
      <c r="T16" s="13">
        <f t="shared" si="9"/>
        <v>17.881090746535538</v>
      </c>
      <c r="U16" s="13">
        <v>53.644799999999996</v>
      </c>
      <c r="V16" s="13">
        <f t="shared" si="2"/>
        <v>2.9640250000000004</v>
      </c>
      <c r="W16" s="13">
        <f t="shared" si="3"/>
        <v>42.377834523809526</v>
      </c>
      <c r="X16" s="13">
        <f t="shared" si="4"/>
        <v>3.7704411118613068</v>
      </c>
      <c r="Y16" s="13">
        <v>7.6639999999999997</v>
      </c>
      <c r="Z16" s="13">
        <f t="shared" si="10"/>
        <v>1</v>
      </c>
      <c r="AA16" s="13">
        <f t="shared" si="0"/>
        <v>111.44563662817941</v>
      </c>
      <c r="AB16" s="13">
        <f t="shared" si="13"/>
        <v>451.26</v>
      </c>
      <c r="AC16" s="13">
        <f t="shared" si="11"/>
        <v>5539.4993831094334</v>
      </c>
      <c r="AD16" s="13">
        <f t="shared" si="12"/>
        <v>6102.2050197376129</v>
      </c>
      <c r="AE16" s="13">
        <f t="shared" si="1"/>
        <v>109114.08171189294</v>
      </c>
      <c r="AF16" s="13">
        <f t="shared" si="5"/>
        <v>38085.918288107059</v>
      </c>
    </row>
    <row r="17" spans="5:32" x14ac:dyDescent="0.35">
      <c r="E17" s="5" t="s">
        <v>90</v>
      </c>
      <c r="F17" s="10">
        <v>0.35</v>
      </c>
      <c r="J17" s="13" t="s">
        <v>40</v>
      </c>
      <c r="K17" s="14" t="s">
        <v>12</v>
      </c>
      <c r="L17" s="14">
        <v>12</v>
      </c>
      <c r="M17" s="13">
        <v>12</v>
      </c>
      <c r="N17" s="13">
        <v>1.4</v>
      </c>
      <c r="O17" s="13">
        <v>1.4</v>
      </c>
      <c r="P17" s="13">
        <f t="shared" si="6"/>
        <v>9.4000000000000021</v>
      </c>
      <c r="Q17" s="13">
        <f t="shared" si="7"/>
        <v>6.6997651777601872</v>
      </c>
      <c r="R17" s="13">
        <f t="shared" si="8"/>
        <v>-0.67171067557342923</v>
      </c>
      <c r="S17" s="13">
        <v>35</v>
      </c>
      <c r="T17" s="13">
        <f t="shared" si="9"/>
        <v>15.645954403218596</v>
      </c>
      <c r="U17" s="13">
        <v>53.644799999999996</v>
      </c>
      <c r="V17" s="13">
        <f t="shared" si="2"/>
        <v>0.76697142857142864</v>
      </c>
      <c r="W17" s="13">
        <f t="shared" si="3"/>
        <v>43.144805952380956</v>
      </c>
      <c r="X17" s="13">
        <f t="shared" si="4"/>
        <v>-2.9142367760428014</v>
      </c>
      <c r="Y17" s="13">
        <v>7.6639999999999997</v>
      </c>
      <c r="Z17" s="13">
        <f t="shared" si="10"/>
        <v>0</v>
      </c>
      <c r="AA17" s="13">
        <f t="shared" si="0"/>
        <v>85.325565543449869</v>
      </c>
      <c r="AB17" s="13">
        <f t="shared" si="13"/>
        <v>451.26</v>
      </c>
      <c r="AC17" s="13">
        <f t="shared" si="11"/>
        <v>3156.8516748399102</v>
      </c>
      <c r="AD17" s="13">
        <f t="shared" si="12"/>
        <v>3693.4372403833599</v>
      </c>
      <c r="AE17" s="13">
        <f t="shared" si="1"/>
        <v>57787.350654187569</v>
      </c>
      <c r="AF17" s="13">
        <f t="shared" si="5"/>
        <v>89412.649345812431</v>
      </c>
    </row>
    <row r="18" spans="5:32" x14ac:dyDescent="0.35">
      <c r="E18" s="5" t="s">
        <v>125</v>
      </c>
      <c r="F18" s="5" t="s">
        <v>126</v>
      </c>
      <c r="J18" s="13" t="s">
        <v>41</v>
      </c>
      <c r="K18" s="18" t="s">
        <v>13</v>
      </c>
      <c r="L18" s="18">
        <v>13</v>
      </c>
      <c r="M18" s="19">
        <v>5</v>
      </c>
      <c r="N18" s="19" t="s">
        <v>55</v>
      </c>
      <c r="O18" s="19">
        <v>0.8</v>
      </c>
      <c r="P18" s="19">
        <f t="shared" si="6"/>
        <v>10.200000000000003</v>
      </c>
      <c r="Q18" s="19">
        <f t="shared" si="7"/>
        <v>9.2068962213459002</v>
      </c>
      <c r="R18" s="19">
        <f t="shared" si="8"/>
        <v>2.507131043585713</v>
      </c>
      <c r="S18" s="27">
        <v>35</v>
      </c>
      <c r="T18" s="19">
        <f t="shared" si="9"/>
        <v>15.645954403218596</v>
      </c>
      <c r="U18" s="19">
        <v>53.644799999999996</v>
      </c>
      <c r="V18" s="19">
        <f t="shared" si="2"/>
        <v>0.31957142857142856</v>
      </c>
      <c r="W18" s="19">
        <f t="shared" si="3"/>
        <v>43.464377380952385</v>
      </c>
      <c r="X18" s="19">
        <f t="shared" si="4"/>
        <v>0</v>
      </c>
      <c r="Y18" s="19">
        <v>7.6639999999999997</v>
      </c>
      <c r="Z18" s="19">
        <f t="shared" si="10"/>
        <v>1</v>
      </c>
      <c r="AA18" s="19">
        <f t="shared" si="0"/>
        <v>85.325565543449869</v>
      </c>
      <c r="AB18" s="19">
        <v>0</v>
      </c>
      <c r="AC18" s="19">
        <f t="shared" si="11"/>
        <v>-1511.4678362908319</v>
      </c>
      <c r="AD18" s="19">
        <f t="shared" si="12"/>
        <v>-1426.1422707473821</v>
      </c>
      <c r="AE18" s="19">
        <f t="shared" si="1"/>
        <v>-22313.35694061617</v>
      </c>
      <c r="AF18" s="19">
        <f t="shared" si="5"/>
        <v>169513.35694061616</v>
      </c>
    </row>
    <row r="19" spans="5:32" x14ac:dyDescent="0.35">
      <c r="E19" s="5" t="s">
        <v>127</v>
      </c>
      <c r="F19" s="5" t="s">
        <v>128</v>
      </c>
      <c r="J19" s="13" t="s">
        <v>42</v>
      </c>
      <c r="K19" s="18" t="s">
        <v>14</v>
      </c>
      <c r="L19" s="18">
        <v>14</v>
      </c>
      <c r="M19" s="19">
        <v>6</v>
      </c>
      <c r="N19" s="19">
        <v>0.4</v>
      </c>
      <c r="O19" s="19">
        <v>0.4</v>
      </c>
      <c r="P19" s="19">
        <f t="shared" si="6"/>
        <v>10.600000000000003</v>
      </c>
      <c r="Q19" s="19">
        <f t="shared" si="7"/>
        <v>3.8225537292743441</v>
      </c>
      <c r="R19" s="19">
        <f t="shared" si="8"/>
        <v>-5.3843424920715561</v>
      </c>
      <c r="S19" s="27">
        <v>35</v>
      </c>
      <c r="T19" s="19">
        <f t="shared" si="9"/>
        <v>15.645954403218596</v>
      </c>
      <c r="U19" s="19">
        <v>53.644799999999996</v>
      </c>
      <c r="V19" s="19">
        <f t="shared" si="2"/>
        <v>0.38348571428571432</v>
      </c>
      <c r="W19" s="19">
        <f t="shared" si="3"/>
        <v>43.847863095238097</v>
      </c>
      <c r="X19" s="19">
        <f t="shared" si="4"/>
        <v>0</v>
      </c>
      <c r="Y19" s="19">
        <v>7.6639999999999997</v>
      </c>
      <c r="Z19" s="19">
        <f t="shared" si="10"/>
        <v>0</v>
      </c>
      <c r="AA19" s="19">
        <f t="shared" si="0"/>
        <v>85.325565543449869</v>
      </c>
      <c r="AB19" s="19">
        <v>0</v>
      </c>
      <c r="AC19" s="19">
        <f t="shared" si="11"/>
        <v>-4401.987783478301</v>
      </c>
      <c r="AD19" s="19">
        <f t="shared" si="12"/>
        <v>-4316.6622179348515</v>
      </c>
      <c r="AE19" s="19">
        <f t="shared" si="1"/>
        <v>-67538.300235905146</v>
      </c>
      <c r="AF19" s="19">
        <f t="shared" si="5"/>
        <v>214738.30023590516</v>
      </c>
    </row>
    <row r="20" spans="5:32" x14ac:dyDescent="0.35">
      <c r="E20" s="5" t="s">
        <v>129</v>
      </c>
      <c r="F20" s="5" t="s">
        <v>130</v>
      </c>
      <c r="J20" s="13" t="s">
        <v>38</v>
      </c>
      <c r="K20" s="14" t="s">
        <v>15</v>
      </c>
      <c r="L20" s="14">
        <v>15</v>
      </c>
      <c r="M20" s="13">
        <v>50</v>
      </c>
      <c r="N20" s="13">
        <v>6</v>
      </c>
      <c r="O20" s="13">
        <v>6</v>
      </c>
      <c r="P20" s="13">
        <f t="shared" si="6"/>
        <v>16.600000000000001</v>
      </c>
      <c r="Q20" s="13">
        <f t="shared" si="7"/>
        <v>6.8921025793463802</v>
      </c>
      <c r="R20" s="13">
        <f t="shared" si="8"/>
        <v>3.069548850072036</v>
      </c>
      <c r="S20" s="13">
        <v>40</v>
      </c>
      <c r="T20" s="13">
        <f t="shared" si="9"/>
        <v>17.881090746535538</v>
      </c>
      <c r="U20" s="13">
        <v>53.644799999999996</v>
      </c>
      <c r="V20" s="13">
        <f t="shared" si="2"/>
        <v>2.7962500000000001</v>
      </c>
      <c r="W20" s="13">
        <f t="shared" si="3"/>
        <v>46.644113095238097</v>
      </c>
      <c r="X20" s="13">
        <f t="shared" si="4"/>
        <v>0.79933351571459699</v>
      </c>
      <c r="Y20" s="13">
        <v>7.6639999999999997</v>
      </c>
      <c r="Z20" s="13">
        <f t="shared" si="10"/>
        <v>1</v>
      </c>
      <c r="AA20" s="13">
        <f t="shared" si="0"/>
        <v>111.44563662817941</v>
      </c>
      <c r="AB20" s="13">
        <f t="shared" si="13"/>
        <v>451.26</v>
      </c>
      <c r="AC20" s="13">
        <f t="shared" si="11"/>
        <v>-4595.7575445978337</v>
      </c>
      <c r="AD20" s="13">
        <f t="shared" si="12"/>
        <v>-4033.0519079696542</v>
      </c>
      <c r="AE20" s="13">
        <f t="shared" si="1"/>
        <v>-72115.367151893675</v>
      </c>
      <c r="AF20" s="13">
        <f t="shared" si="5"/>
        <v>219315.36715189368</v>
      </c>
    </row>
    <row r="21" spans="5:32" x14ac:dyDescent="0.35">
      <c r="E21" s="5" t="s">
        <v>133</v>
      </c>
      <c r="F21" s="10" t="s">
        <v>132</v>
      </c>
      <c r="J21" s="13" t="s">
        <v>43</v>
      </c>
      <c r="K21" s="14" t="s">
        <v>16</v>
      </c>
      <c r="L21" s="14">
        <v>16</v>
      </c>
      <c r="M21" s="13">
        <v>46</v>
      </c>
      <c r="N21" s="13" t="s">
        <v>56</v>
      </c>
      <c r="O21" s="13">
        <v>-1.6</v>
      </c>
      <c r="P21" s="13">
        <f t="shared" si="6"/>
        <v>15.000000000000002</v>
      </c>
      <c r="Q21" s="13">
        <f t="shared" si="7"/>
        <v>-1.9932987419679011</v>
      </c>
      <c r="R21" s="13">
        <f t="shared" si="8"/>
        <v>-8.8854013213142817</v>
      </c>
      <c r="S21" s="13">
        <v>20</v>
      </c>
      <c r="T21" s="13">
        <f t="shared" si="9"/>
        <v>8.9405453732677689</v>
      </c>
      <c r="U21" s="13">
        <v>53.644799999999996</v>
      </c>
      <c r="V21" s="13">
        <f t="shared" si="2"/>
        <v>5.1451000000000002</v>
      </c>
      <c r="W21" s="13">
        <f t="shared" si="3"/>
        <v>51.789213095238097</v>
      </c>
      <c r="X21" s="13">
        <f t="shared" si="4"/>
        <v>-1.7376815559012981</v>
      </c>
      <c r="Y21" s="13">
        <v>7.6639999999999997</v>
      </c>
      <c r="Z21" s="13">
        <f t="shared" si="10"/>
        <v>0</v>
      </c>
      <c r="AA21" s="13">
        <f t="shared" si="0"/>
        <v>27.861409157044854</v>
      </c>
      <c r="AB21" s="13">
        <f t="shared" si="13"/>
        <v>451.26</v>
      </c>
      <c r="AC21" s="13">
        <f t="shared" si="11"/>
        <v>-5053.0886312467856</v>
      </c>
      <c r="AD21" s="13">
        <f t="shared" si="12"/>
        <v>-4573.967222089741</v>
      </c>
      <c r="AE21" s="13">
        <f t="shared" si="1"/>
        <v>-40893.76148493286</v>
      </c>
      <c r="AF21" s="13">
        <f t="shared" si="5"/>
        <v>188093.76148493285</v>
      </c>
    </row>
    <row r="22" spans="5:32" x14ac:dyDescent="0.35">
      <c r="E22" s="5" t="s">
        <v>65</v>
      </c>
      <c r="F22" s="5" t="s">
        <v>131</v>
      </c>
      <c r="J22" s="13" t="s">
        <v>32</v>
      </c>
      <c r="K22" s="14" t="s">
        <v>17</v>
      </c>
      <c r="L22" s="14">
        <v>17</v>
      </c>
      <c r="M22" s="13">
        <v>25</v>
      </c>
      <c r="N22" s="13">
        <v>-2.2000000000000002</v>
      </c>
      <c r="O22" s="13">
        <v>-2.4</v>
      </c>
      <c r="P22" s="13">
        <f t="shared" si="6"/>
        <v>12.600000000000001</v>
      </c>
      <c r="Q22" s="13">
        <f t="shared" si="7"/>
        <v>-5.5088786712030746</v>
      </c>
      <c r="R22" s="13">
        <f t="shared" si="8"/>
        <v>-3.5155799292351735</v>
      </c>
      <c r="S22" s="13">
        <v>25</v>
      </c>
      <c r="T22" s="13">
        <f t="shared" si="9"/>
        <v>11.175681716584711</v>
      </c>
      <c r="U22" s="13">
        <v>53.644799999999996</v>
      </c>
      <c r="V22" s="13">
        <f t="shared" si="2"/>
        <v>2.2370000000000001</v>
      </c>
      <c r="W22" s="13">
        <f t="shared" si="3"/>
        <v>54.026213095238099</v>
      </c>
      <c r="X22" s="13">
        <f t="shared" si="4"/>
        <v>0.99916689464324615</v>
      </c>
      <c r="Y22" s="13">
        <v>7.6639999999999997</v>
      </c>
      <c r="Z22" s="13">
        <f t="shared" si="10"/>
        <v>1</v>
      </c>
      <c r="AA22" s="13">
        <f t="shared" si="0"/>
        <v>43.533451807882578</v>
      </c>
      <c r="AB22" s="13">
        <f t="shared" si="13"/>
        <v>451.26</v>
      </c>
      <c r="AC22" s="13">
        <f t="shared" si="11"/>
        <v>-5615.5480208433419</v>
      </c>
      <c r="AD22" s="13">
        <f t="shared" si="12"/>
        <v>-5120.7545690354591</v>
      </c>
      <c r="AE22" s="13">
        <f t="shared" si="1"/>
        <v>-57227.923212287198</v>
      </c>
      <c r="AF22" s="13">
        <f t="shared" si="5"/>
        <v>204427.92321228719</v>
      </c>
    </row>
    <row r="23" spans="5:32" x14ac:dyDescent="0.35">
      <c r="E23" s="5" t="s">
        <v>66</v>
      </c>
      <c r="F23" s="8" t="s">
        <v>91</v>
      </c>
      <c r="J23" s="13" t="s">
        <v>44</v>
      </c>
      <c r="K23" s="14" t="s">
        <v>18</v>
      </c>
      <c r="L23" s="14">
        <v>18</v>
      </c>
      <c r="M23" s="13">
        <v>40</v>
      </c>
      <c r="N23" s="13">
        <v>-5.0999999999999996</v>
      </c>
      <c r="O23" s="13">
        <v>-5.3</v>
      </c>
      <c r="P23" s="13">
        <f t="shared" si="6"/>
        <v>7.3000000000000016</v>
      </c>
      <c r="Q23" s="13">
        <f t="shared" si="7"/>
        <v>-7.6140817395938853</v>
      </c>
      <c r="R23" s="13">
        <f t="shared" si="8"/>
        <v>-2.1052030683908107</v>
      </c>
      <c r="S23" s="13">
        <v>35</v>
      </c>
      <c r="T23" s="13">
        <f t="shared" si="9"/>
        <v>15.645954403218596</v>
      </c>
      <c r="U23" s="13">
        <v>53.644799999999996</v>
      </c>
      <c r="V23" s="13">
        <f t="shared" si="2"/>
        <v>2.5565714285714285</v>
      </c>
      <c r="W23" s="13">
        <f t="shared" si="3"/>
        <v>56.582784523809529</v>
      </c>
      <c r="X23" s="13">
        <f t="shared" si="4"/>
        <v>1.7485420656256816</v>
      </c>
      <c r="Y23" s="13">
        <v>7.6639999999999997</v>
      </c>
      <c r="Z23" s="13">
        <f t="shared" si="10"/>
        <v>1</v>
      </c>
      <c r="AA23" s="13">
        <f t="shared" si="0"/>
        <v>85.325565543449869</v>
      </c>
      <c r="AB23" s="13">
        <f t="shared" si="13"/>
        <v>451.26</v>
      </c>
      <c r="AC23" s="13">
        <f t="shared" si="11"/>
        <v>-2334.1733852444077</v>
      </c>
      <c r="AD23" s="13">
        <f t="shared" si="12"/>
        <v>-1797.5878197009579</v>
      </c>
      <c r="AE23" s="13">
        <f t="shared" si="1"/>
        <v>-28124.977062822316</v>
      </c>
      <c r="AF23" s="13">
        <f t="shared" si="5"/>
        <v>175324.97706282232</v>
      </c>
    </row>
    <row r="24" spans="5:32" x14ac:dyDescent="0.35">
      <c r="E24" s="5" t="s">
        <v>93</v>
      </c>
      <c r="F24" s="8" t="s">
        <v>92</v>
      </c>
      <c r="J24" s="13" t="s">
        <v>45</v>
      </c>
      <c r="K24" s="14" t="s">
        <v>19</v>
      </c>
      <c r="L24" s="14">
        <v>19</v>
      </c>
      <c r="M24" s="13">
        <v>10</v>
      </c>
      <c r="N24" s="13">
        <v>-1.2</v>
      </c>
      <c r="O24" s="13">
        <v>-1.4</v>
      </c>
      <c r="P24" s="13">
        <f t="shared" si="6"/>
        <v>5.9000000000000021</v>
      </c>
      <c r="Q24" s="13">
        <f t="shared" si="7"/>
        <v>-8.0478462473115151</v>
      </c>
      <c r="R24" s="13">
        <f t="shared" si="8"/>
        <v>-0.43376450771762975</v>
      </c>
      <c r="S24" s="13">
        <v>40</v>
      </c>
      <c r="T24" s="13">
        <f t="shared" si="9"/>
        <v>17.881090746535538</v>
      </c>
      <c r="U24" s="13">
        <v>53.644799999999996</v>
      </c>
      <c r="V24" s="13">
        <f t="shared" si="2"/>
        <v>0.55925000000000002</v>
      </c>
      <c r="W24" s="13">
        <f t="shared" si="3"/>
        <v>57.142034523809528</v>
      </c>
      <c r="X24" s="13">
        <f t="shared" si="4"/>
        <v>3.9966675785729846</v>
      </c>
      <c r="Y24" s="13">
        <v>7.6639999999999997</v>
      </c>
      <c r="Z24" s="13">
        <f t="shared" si="10"/>
        <v>1</v>
      </c>
      <c r="AA24" s="13">
        <f t="shared" si="0"/>
        <v>111.44563662817941</v>
      </c>
      <c r="AB24" s="13">
        <f t="shared" si="13"/>
        <v>451.26</v>
      </c>
      <c r="AC24" s="13">
        <f t="shared" si="11"/>
        <v>-3661.8193652087671</v>
      </c>
      <c r="AD24" s="13">
        <f t="shared" si="12"/>
        <v>-3099.1137285805876</v>
      </c>
      <c r="AE24" s="13">
        <f t="shared" si="1"/>
        <v>-55415.533814583592</v>
      </c>
      <c r="AF24" s="13">
        <f t="shared" si="5"/>
        <v>202615.53381458358</v>
      </c>
    </row>
    <row r="25" spans="5:32" x14ac:dyDescent="0.35">
      <c r="E25" s="5" t="s">
        <v>140</v>
      </c>
      <c r="F25" s="8">
        <v>7.6639999999999997</v>
      </c>
      <c r="J25" s="13" t="s">
        <v>46</v>
      </c>
      <c r="K25" s="20" t="s">
        <v>20</v>
      </c>
      <c r="L25" s="20">
        <v>20</v>
      </c>
      <c r="M25" s="21">
        <v>10</v>
      </c>
      <c r="N25" s="21" t="s">
        <v>57</v>
      </c>
      <c r="O25" s="21">
        <v>1.1000000000000001</v>
      </c>
      <c r="P25" s="21">
        <f t="shared" si="6"/>
        <v>7.0000000000000018</v>
      </c>
      <c r="Q25" s="21">
        <f t="shared" si="7"/>
        <v>6.3153155693573835</v>
      </c>
      <c r="R25" s="21">
        <f t="shared" si="8"/>
        <v>14.363161816668899</v>
      </c>
      <c r="S25" s="28">
        <v>40</v>
      </c>
      <c r="T25" s="21">
        <f t="shared" si="9"/>
        <v>17.881090746535538</v>
      </c>
      <c r="U25" s="21">
        <v>53.644799999999996</v>
      </c>
      <c r="V25" s="21">
        <f t="shared" si="2"/>
        <v>0.55925000000000002</v>
      </c>
      <c r="W25" s="21">
        <f t="shared" si="3"/>
        <v>57.701284523809527</v>
      </c>
      <c r="X25" s="21">
        <f t="shared" si="4"/>
        <v>0</v>
      </c>
      <c r="Y25" s="21">
        <v>7.6639999999999997</v>
      </c>
      <c r="Z25" s="21">
        <f t="shared" si="10"/>
        <v>0</v>
      </c>
      <c r="AA25" s="21">
        <f t="shared" si="0"/>
        <v>111.44563662817941</v>
      </c>
      <c r="AB25" s="21">
        <v>0</v>
      </c>
      <c r="AC25" s="21">
        <f t="shared" si="11"/>
        <v>-2985.6391665973465</v>
      </c>
      <c r="AD25" s="21">
        <f t="shared" si="12"/>
        <v>-2874.1935299691672</v>
      </c>
      <c r="AE25" s="21">
        <f t="shared" si="1"/>
        <v>-51393.715332483989</v>
      </c>
      <c r="AF25" s="21">
        <f t="shared" si="5"/>
        <v>198593.71533248399</v>
      </c>
    </row>
    <row r="26" spans="5:32" x14ac:dyDescent="0.35">
      <c r="J26" s="13" t="s">
        <v>47</v>
      </c>
      <c r="K26" s="20" t="s">
        <v>21</v>
      </c>
      <c r="L26" s="20">
        <v>21</v>
      </c>
      <c r="M26" s="21">
        <v>10</v>
      </c>
      <c r="N26" s="21">
        <v>-1.5</v>
      </c>
      <c r="O26" s="21">
        <v>-1.5</v>
      </c>
      <c r="P26" s="21">
        <f t="shared" si="6"/>
        <v>5.5000000000000018</v>
      </c>
      <c r="Q26" s="21">
        <f t="shared" si="7"/>
        <v>-8.6269265586786386</v>
      </c>
      <c r="R26" s="21">
        <f t="shared" si="8"/>
        <v>-14.942242128036021</v>
      </c>
      <c r="S26" s="28">
        <v>40</v>
      </c>
      <c r="T26" s="21">
        <f t="shared" si="9"/>
        <v>17.881090746535538</v>
      </c>
      <c r="U26" s="21">
        <v>53.644799999999996</v>
      </c>
      <c r="V26" s="21">
        <f t="shared" si="2"/>
        <v>0.55925000000000002</v>
      </c>
      <c r="W26" s="21">
        <f t="shared" si="3"/>
        <v>58.260534523809525</v>
      </c>
      <c r="X26" s="21">
        <f t="shared" si="4"/>
        <v>0</v>
      </c>
      <c r="Y26" s="21">
        <v>7.6639999999999997</v>
      </c>
      <c r="Z26" s="21">
        <f t="shared" si="10"/>
        <v>0</v>
      </c>
      <c r="AA26" s="21">
        <f t="shared" si="0"/>
        <v>111.44563662817941</v>
      </c>
      <c r="AB26" s="21">
        <v>0</v>
      </c>
      <c r="AC26" s="21">
        <f t="shared" si="11"/>
        <v>4910.8780972499144</v>
      </c>
      <c r="AD26" s="21">
        <f t="shared" si="12"/>
        <v>5022.3237338780937</v>
      </c>
      <c r="AE26" s="21">
        <f t="shared" si="1"/>
        <v>89804.626443953384</v>
      </c>
      <c r="AF26" s="21">
        <f t="shared" si="5"/>
        <v>57395.373556046616</v>
      </c>
    </row>
    <row r="27" spans="5:32" x14ac:dyDescent="0.35">
      <c r="J27" s="13" t="s">
        <v>48</v>
      </c>
      <c r="K27" s="20" t="s">
        <v>22</v>
      </c>
      <c r="L27" s="20">
        <v>22</v>
      </c>
      <c r="M27" s="21">
        <v>0</v>
      </c>
      <c r="N27" s="21">
        <v>0</v>
      </c>
      <c r="O27" s="21">
        <v>0</v>
      </c>
      <c r="P27" s="21">
        <f t="shared" si="6"/>
        <v>5.5000000000000018</v>
      </c>
      <c r="Q27" s="21">
        <v>0</v>
      </c>
      <c r="R27" s="21">
        <f t="shared" si="8"/>
        <v>8.6269265586786386</v>
      </c>
      <c r="S27" s="28">
        <v>40</v>
      </c>
      <c r="T27" s="21">
        <f t="shared" si="9"/>
        <v>17.881090746535538</v>
      </c>
      <c r="U27" s="21">
        <v>53.644799999999996</v>
      </c>
      <c r="V27" s="21">
        <f t="shared" si="2"/>
        <v>0</v>
      </c>
      <c r="W27" s="21">
        <f t="shared" si="3"/>
        <v>58.260534523809525</v>
      </c>
      <c r="X27" s="21">
        <v>0</v>
      </c>
      <c r="Y27" s="21">
        <v>7.6639999999999997</v>
      </c>
      <c r="Z27" s="21">
        <f t="shared" si="10"/>
        <v>0</v>
      </c>
      <c r="AA27" s="21">
        <f t="shared" si="0"/>
        <v>111.44563662817941</v>
      </c>
      <c r="AB27" s="21">
        <v>0</v>
      </c>
      <c r="AC27" s="21">
        <f t="shared" si="11"/>
        <v>0</v>
      </c>
      <c r="AD27" s="21">
        <f t="shared" si="12"/>
        <v>111.44563662817941</v>
      </c>
      <c r="AE27" s="21">
        <f t="shared" si="1"/>
        <v>1992.7695418539008</v>
      </c>
      <c r="AF27" s="21">
        <f t="shared" si="5"/>
        <v>145207.23045814611</v>
      </c>
    </row>
    <row r="28" spans="5:32" x14ac:dyDescent="0.35">
      <c r="J28" s="13" t="s">
        <v>49</v>
      </c>
      <c r="K28" s="14" t="s">
        <v>23</v>
      </c>
      <c r="L28" s="14">
        <v>23</v>
      </c>
      <c r="M28" s="13">
        <v>26</v>
      </c>
      <c r="N28" s="22">
        <v>-3</v>
      </c>
      <c r="O28" s="22">
        <v>-3.1</v>
      </c>
      <c r="P28" s="13">
        <f t="shared" si="6"/>
        <v>2.4000000000000017</v>
      </c>
      <c r="Q28" s="13">
        <f>DEGREES(ASIN(O28/M28))</f>
        <v>-6.8477101777828731</v>
      </c>
      <c r="R28" s="13">
        <f t="shared" si="8"/>
        <v>-6.8477101777828731</v>
      </c>
      <c r="S28" s="13">
        <v>25</v>
      </c>
      <c r="T28" s="13">
        <f t="shared" si="9"/>
        <v>11.175681716584711</v>
      </c>
      <c r="U28" s="13">
        <v>53.644799999999996</v>
      </c>
      <c r="V28" s="13">
        <f t="shared" si="2"/>
        <v>2.3264800000000001</v>
      </c>
      <c r="W28" s="13">
        <f t="shared" si="3"/>
        <v>60.587014523809529</v>
      </c>
      <c r="X28" s="13">
        <f>-(T27-T28)/V28</f>
        <v>-2.8822121960862876</v>
      </c>
      <c r="Y28" s="13">
        <v>7.6639999999999997</v>
      </c>
      <c r="Z28" s="13">
        <f t="shared" si="10"/>
        <v>0</v>
      </c>
      <c r="AA28" s="13">
        <f t="shared" si="0"/>
        <v>43.533451807882578</v>
      </c>
      <c r="AB28" s="13">
        <f t="shared" si="13"/>
        <v>451.26</v>
      </c>
      <c r="AC28" s="13">
        <f t="shared" si="11"/>
        <v>-1956.381273631617</v>
      </c>
      <c r="AD28" s="13">
        <f t="shared" si="12"/>
        <v>-1461.5878218237344</v>
      </c>
      <c r="AE28" s="13">
        <f t="shared" si="1"/>
        <v>-16334.240297538381</v>
      </c>
      <c r="AF28" s="13">
        <f t="shared" si="5"/>
        <v>163534.24029753837</v>
      </c>
    </row>
    <row r="29" spans="5:32" x14ac:dyDescent="0.35">
      <c r="E29" s="4" t="s">
        <v>70</v>
      </c>
      <c r="F29" s="7"/>
      <c r="J29" s="13" t="s">
        <v>49</v>
      </c>
      <c r="K29" s="14" t="s">
        <v>24</v>
      </c>
      <c r="L29" s="14">
        <v>24</v>
      </c>
      <c r="M29" s="13">
        <v>28</v>
      </c>
      <c r="N29" s="22">
        <v>-1.4</v>
      </c>
      <c r="O29" s="22">
        <v>-1.5</v>
      </c>
      <c r="P29" s="13">
        <f t="shared" si="6"/>
        <v>0.90000000000000169</v>
      </c>
      <c r="Q29" s="13">
        <f>DEGREES(ASIN(O29/M29))</f>
        <v>-3.0708868110748648</v>
      </c>
      <c r="R29" s="13">
        <f t="shared" si="8"/>
        <v>3.7768233667080082</v>
      </c>
      <c r="S29" s="13">
        <v>30</v>
      </c>
      <c r="T29" s="13">
        <f t="shared" si="9"/>
        <v>13.410818059901654</v>
      </c>
      <c r="U29" s="13">
        <v>53.644799999999996</v>
      </c>
      <c r="V29" s="13">
        <f t="shared" si="2"/>
        <v>2.0878666666666668</v>
      </c>
      <c r="W29" s="13">
        <f t="shared" si="3"/>
        <v>62.674881190476199</v>
      </c>
      <c r="X29" s="13">
        <f>-(T28-T29)/V29</f>
        <v>1.0705359585463361</v>
      </c>
      <c r="Y29" s="13">
        <v>7.6639999999999997</v>
      </c>
      <c r="Z29" s="13">
        <f t="shared" si="10"/>
        <v>1</v>
      </c>
      <c r="AA29" s="13">
        <f t="shared" si="0"/>
        <v>62.688170603350926</v>
      </c>
      <c r="AB29" s="13">
        <f t="shared" si="13"/>
        <v>451.26</v>
      </c>
      <c r="AC29" s="13">
        <f t="shared" si="11"/>
        <v>-110.91840226664013</v>
      </c>
      <c r="AD29" s="13">
        <f t="shared" si="12"/>
        <v>403.02976833671084</v>
      </c>
      <c r="AE29" s="13">
        <f t="shared" si="1"/>
        <v>5404.9588958879413</v>
      </c>
      <c r="AF29" s="13">
        <f t="shared" si="5"/>
        <v>141795.04110411205</v>
      </c>
    </row>
    <row r="30" spans="5:32" x14ac:dyDescent="0.35">
      <c r="E30" s="5">
        <v>1</v>
      </c>
      <c r="F30" s="9" t="s">
        <v>69</v>
      </c>
      <c r="J30" s="13" t="s">
        <v>50</v>
      </c>
      <c r="K30" s="14" t="s">
        <v>25</v>
      </c>
      <c r="L30" s="14">
        <v>25</v>
      </c>
      <c r="M30" s="13">
        <v>90</v>
      </c>
      <c r="N30" s="22">
        <v>7.1</v>
      </c>
      <c r="O30" s="22">
        <v>7.1</v>
      </c>
      <c r="P30" s="13">
        <f t="shared" si="6"/>
        <v>8.0000000000000018</v>
      </c>
      <c r="Q30" s="13">
        <f>DEGREES(ASIN(O30/M30))</f>
        <v>4.5247019004531444</v>
      </c>
      <c r="R30" s="13">
        <f t="shared" si="8"/>
        <v>7.5955887115280092</v>
      </c>
      <c r="S30" s="13">
        <v>40</v>
      </c>
      <c r="T30" s="13">
        <f t="shared" si="9"/>
        <v>17.881090746535538</v>
      </c>
      <c r="U30" s="13">
        <v>53.644799999999996</v>
      </c>
      <c r="V30" s="13">
        <f t="shared" si="2"/>
        <v>5.0332500000000007</v>
      </c>
      <c r="W30" s="13">
        <f t="shared" si="3"/>
        <v>67.708131190476195</v>
      </c>
      <c r="X30" s="13">
        <f>-(T29-T30)/V30</f>
        <v>0.88814835079399657</v>
      </c>
      <c r="Y30" s="13">
        <v>7.6639999999999997</v>
      </c>
      <c r="Z30" s="13">
        <f t="shared" si="10"/>
        <v>0</v>
      </c>
      <c r="AA30" s="13">
        <f t="shared" si="0"/>
        <v>111.44563662817941</v>
      </c>
      <c r="AB30" s="13">
        <f t="shared" si="13"/>
        <v>451.26</v>
      </c>
      <c r="AC30" s="13">
        <f t="shared" si="11"/>
        <v>5628.8642821861467</v>
      </c>
      <c r="AD30" s="13">
        <f t="shared" si="12"/>
        <v>6191.5699188143262</v>
      </c>
      <c r="AE30" s="13">
        <f t="shared" si="1"/>
        <v>110712.02358183864</v>
      </c>
      <c r="AF30" s="13">
        <f t="shared" si="5"/>
        <v>36487.976418161357</v>
      </c>
    </row>
    <row r="31" spans="5:32" x14ac:dyDescent="0.35">
      <c r="E31" s="5">
        <v>2</v>
      </c>
      <c r="F31" s="31" t="s">
        <v>88</v>
      </c>
      <c r="J31" s="13" t="s">
        <v>51</v>
      </c>
      <c r="K31" s="14" t="s">
        <v>26</v>
      </c>
      <c r="L31" s="14">
        <v>0</v>
      </c>
      <c r="M31" s="13">
        <v>1</v>
      </c>
      <c r="N31" s="22">
        <v>0.1</v>
      </c>
      <c r="O31" s="22">
        <v>0.1</v>
      </c>
      <c r="P31" s="13">
        <f t="shared" si="6"/>
        <v>8.1000000000000014</v>
      </c>
      <c r="Q31" s="13">
        <f>DEGREES(ASIN(O31/M31))</f>
        <v>5.7391704772667866</v>
      </c>
      <c r="R31" s="13">
        <f t="shared" si="8"/>
        <v>1.2144685768136423</v>
      </c>
      <c r="S31" s="13">
        <v>40</v>
      </c>
      <c r="T31" s="13">
        <f t="shared" si="9"/>
        <v>17.881090746535538</v>
      </c>
      <c r="U31" s="13">
        <v>53.644799999999996</v>
      </c>
      <c r="V31" s="13">
        <f t="shared" si="2"/>
        <v>5.5925000000000002E-2</v>
      </c>
      <c r="W31" s="13">
        <f t="shared" si="3"/>
        <v>67.764056190476197</v>
      </c>
      <c r="X31" s="13">
        <f>-(T30-T31)/V31</f>
        <v>0</v>
      </c>
      <c r="Y31" s="13">
        <v>7.6639999999999997</v>
      </c>
      <c r="Z31" s="13">
        <f t="shared" si="10"/>
        <v>0</v>
      </c>
      <c r="AA31" s="13">
        <f t="shared" si="0"/>
        <v>111.44563662817941</v>
      </c>
      <c r="AB31" s="13">
        <f t="shared" si="13"/>
        <v>451.26</v>
      </c>
      <c r="AC31" s="13">
        <f t="shared" si="11"/>
        <v>4855.9677915285847</v>
      </c>
      <c r="AD31" s="13">
        <f t="shared" si="12"/>
        <v>5418.6734281567642</v>
      </c>
      <c r="AE31" s="13">
        <f t="shared" si="1"/>
        <v>96891.791294711918</v>
      </c>
      <c r="AF31" s="13">
        <f t="shared" si="5"/>
        <v>50308.208705288082</v>
      </c>
    </row>
    <row r="32" spans="5:32" ht="18" thickBot="1" x14ac:dyDescent="0.4">
      <c r="E32" s="5">
        <v>3</v>
      </c>
      <c r="F32" s="31" t="s">
        <v>86</v>
      </c>
      <c r="K32" s="1"/>
      <c r="L32" s="1"/>
      <c r="M32" s="12">
        <f>SUM(M5:M31)</f>
        <v>719</v>
      </c>
      <c r="O32" s="12">
        <f>SUM(O33:O34)</f>
        <v>0</v>
      </c>
      <c r="P32" s="26"/>
      <c r="V32" s="22">
        <f>SUM(V6:V31)</f>
        <v>67.764056190476197</v>
      </c>
      <c r="W32" s="30"/>
      <c r="X32" s="29">
        <f>AVERAGE(X5:X31)</f>
        <v>0.26569683254952897</v>
      </c>
      <c r="Y32" s="29"/>
      <c r="Z32" s="29">
        <f>AVERAGE(Z5:Z31)</f>
        <v>0.48148148148148145</v>
      </c>
    </row>
    <row r="33" spans="5:22" x14ac:dyDescent="0.35">
      <c r="E33" s="5">
        <v>4</v>
      </c>
      <c r="F33" s="31" t="s">
        <v>87</v>
      </c>
      <c r="K33" s="1"/>
      <c r="L33" s="1"/>
      <c r="M33" t="s">
        <v>59</v>
      </c>
      <c r="O33">
        <f>SUM(O5:O7,O12,O15:O20,O25,O27,O30)</f>
        <v>35.1</v>
      </c>
      <c r="V33" t="s">
        <v>108</v>
      </c>
    </row>
    <row r="34" spans="5:22" x14ac:dyDescent="0.35">
      <c r="E34" s="5">
        <v>5</v>
      </c>
      <c r="F34" s="5" t="s">
        <v>95</v>
      </c>
      <c r="K34" s="1"/>
      <c r="L34" s="1"/>
      <c r="O34">
        <f>SUM(O8:O11,O13:O14,O21:O24,O26,O28:O29)</f>
        <v>-35.1</v>
      </c>
    </row>
    <row r="35" spans="5:22" x14ac:dyDescent="0.35">
      <c r="E35" s="5">
        <v>6</v>
      </c>
      <c r="F35" s="31" t="s">
        <v>114</v>
      </c>
      <c r="K35" s="1"/>
      <c r="L35" s="1"/>
      <c r="O35" t="s">
        <v>60</v>
      </c>
    </row>
    <row r="36" spans="5:22" x14ac:dyDescent="0.35">
      <c r="V36">
        <f>M32/V32</f>
        <v>10.61034478188528</v>
      </c>
    </row>
    <row r="88" spans="1:1" x14ac:dyDescent="0.35">
      <c r="A88" t="s">
        <v>116</v>
      </c>
    </row>
    <row r="89" spans="1:1" x14ac:dyDescent="0.35">
      <c r="A89" t="s">
        <v>117</v>
      </c>
    </row>
    <row r="90" spans="1:1" x14ac:dyDescent="0.35">
      <c r="A90" t="s">
        <v>118</v>
      </c>
    </row>
    <row r="91" spans="1:1" x14ac:dyDescent="0.35">
      <c r="A91" t="s">
        <v>119</v>
      </c>
    </row>
    <row r="92" spans="1:1" x14ac:dyDescent="0.35">
      <c r="A92" t="s">
        <v>120</v>
      </c>
    </row>
    <row r="93" spans="1:1" x14ac:dyDescent="0.35">
      <c r="A93" t="s">
        <v>121</v>
      </c>
    </row>
    <row r="94" spans="1:1" x14ac:dyDescent="0.35">
      <c r="A94" t="s">
        <v>122</v>
      </c>
    </row>
    <row r="95" spans="1:1" x14ac:dyDescent="0.35">
      <c r="A95" t="s">
        <v>123</v>
      </c>
    </row>
    <row r="119" spans="6:6" x14ac:dyDescent="0.35">
      <c r="F119" t="s">
        <v>124</v>
      </c>
    </row>
  </sheetData>
  <hyperlinks>
    <hyperlink ref="F30" r:id="rId1"/>
    <hyperlink ref="F33" r:id="rId2"/>
    <hyperlink ref="F35" r:id="rId3"/>
    <hyperlink ref="F32" r:id="rId4"/>
    <hyperlink ref="F31" r:id="rId5"/>
  </hyperlinks>
  <pageMargins left="0.7" right="0.7" top="0.75" bottom="0.75" header="0.3" footer="0.3"/>
  <pageSetup paperSize="9"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CW1 sheet</vt:lpstr>
      <vt:lpstr>FIXING SHEET</vt:lpstr>
      <vt:lpstr>CW2 Sheet </vt:lpstr>
      <vt:lpstr>TRACK AND CAR INFO</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2019-11-03T11:53:29Z</dcterms:created>
  <dcterms:modified xsi:type="dcterms:W3CDTF">2020-03-23T06:46:33Z</dcterms:modified>
</cp:coreProperties>
</file>