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ccossecure-my.sharepoint.com/personal/tom_dilley_swansea_gov_uk/Documents/Desktop/Personal/University/Year 4/Group Project/"/>
    </mc:Choice>
  </mc:AlternateContent>
  <xr:revisionPtr revIDLastSave="567" documentId="13_ncr:1_{9704BC5B-CEE3-4917-936B-84115F4F473D}" xr6:coauthVersionLast="47" xr6:coauthVersionMax="47" xr10:uidLastSave="{0F324DC9-100B-4CD8-9453-2ADF32CA0A5F}"/>
  <bookViews>
    <workbookView xWindow="-110" yWindow="-110" windowWidth="19420" windowHeight="10300" activeTab="2" xr2:uid="{00000000-000D-0000-FFFF-FFFF00000000}"/>
  </bookViews>
  <sheets>
    <sheet name="Feasability Costs" sheetId="17" r:id="rId1"/>
    <sheet name="Summary Sheet" sheetId="1" r:id="rId2"/>
    <sheet name="0 Facilitating Works" sheetId="2" r:id="rId3"/>
    <sheet name="1 Substructure" sheetId="3" r:id="rId4"/>
    <sheet name="2 Superstructure" sheetId="4" r:id="rId5"/>
    <sheet name="3 Internal Finishes" sheetId="5" r:id="rId6"/>
    <sheet name="4 FFE" sheetId="6" r:id="rId7"/>
    <sheet name="5 Services" sheetId="7" r:id="rId8"/>
    <sheet name="6 Prefab Build &amp; Units" sheetId="8" r:id="rId9"/>
    <sheet name="7 Work to Exist Buildings" sheetId="9" r:id="rId10"/>
    <sheet name="8 External Works" sheetId="10" r:id="rId11"/>
    <sheet name="9 Main Contractor Prelims" sheetId="12" r:id="rId12"/>
    <sheet name="10 Main Contractor OH&amp;P" sheetId="13" r:id="rId13"/>
    <sheet name="11 Project_design fees" sheetId="11" r:id="rId14"/>
    <sheet name="12 Other Dev_Proj Costs" sheetId="14" r:id="rId15"/>
    <sheet name="13 Risks" sheetId="15" r:id="rId1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4" i="1" l="1"/>
  <c r="F13" i="1"/>
  <c r="F12" i="1"/>
  <c r="F11" i="1"/>
  <c r="F10" i="1"/>
  <c r="F9" i="1"/>
  <c r="F8" i="1"/>
  <c r="F7" i="1"/>
  <c r="F6" i="1"/>
  <c r="F5" i="1"/>
  <c r="F4" i="1"/>
  <c r="F3" i="1"/>
  <c r="F16" i="1"/>
  <c r="F15" i="1"/>
  <c r="F9" i="2"/>
  <c r="F7" i="2"/>
  <c r="F9" i="10"/>
  <c r="F7" i="5"/>
  <c r="F6" i="5"/>
  <c r="F13" i="3"/>
  <c r="F14" i="3"/>
  <c r="F11" i="3"/>
  <c r="F10" i="3"/>
  <c r="F8" i="3"/>
  <c r="F7" i="3"/>
  <c r="F5" i="6"/>
  <c r="F8" i="10"/>
  <c r="F6" i="10"/>
  <c r="F13" i="4" l="1"/>
  <c r="F19" i="4"/>
  <c r="F15" i="4"/>
  <c r="F5" i="2"/>
  <c r="F5" i="5"/>
  <c r="G14" i="17" l="1"/>
  <c r="H14" i="17" s="1"/>
  <c r="G11" i="17"/>
  <c r="H11" i="17" s="1"/>
  <c r="G34" i="17"/>
  <c r="H34" i="17" s="1"/>
  <c r="G33" i="17"/>
  <c r="H33" i="17" s="1"/>
  <c r="G18" i="17"/>
  <c r="H18" i="17" s="1"/>
  <c r="G16" i="17"/>
  <c r="H16" i="17" s="1"/>
  <c r="G15" i="17"/>
  <c r="H15" i="17" s="1"/>
  <c r="G17" i="17"/>
  <c r="H17" i="17" s="1"/>
  <c r="G10" i="17"/>
  <c r="H10" i="17" s="1"/>
  <c r="G9" i="17"/>
  <c r="H9" i="17" s="1"/>
  <c r="H30" i="17" l="1"/>
  <c r="F7" i="7"/>
  <c r="F18" i="4"/>
  <c r="F12" i="4"/>
  <c r="F7" i="10"/>
  <c r="F5" i="10"/>
  <c r="F11" i="7"/>
  <c r="F10" i="7"/>
  <c r="F9" i="7"/>
  <c r="F8" i="7"/>
  <c r="F6" i="7"/>
  <c r="F5" i="7"/>
  <c r="F8" i="4"/>
  <c r="F7" i="4"/>
  <c r="H40" i="17" l="1"/>
  <c r="H39" i="17"/>
  <c r="H38" i="17"/>
  <c r="F14" i="4"/>
  <c r="F17" i="4"/>
  <c r="H42" i="17" l="1"/>
  <c r="H45" i="17" s="1"/>
  <c r="F12" i="3"/>
  <c r="F6" i="3"/>
  <c r="F4" i="10" l="1"/>
  <c r="F4" i="9"/>
  <c r="F6" i="9" s="1"/>
  <c r="D10" i="1" s="1"/>
  <c r="E10" i="1" s="1"/>
  <c r="F4" i="8"/>
  <c r="F6" i="8" s="1"/>
  <c r="D9" i="1" s="1"/>
  <c r="E9" i="1" s="1"/>
  <c r="F4" i="7"/>
  <c r="F4" i="6"/>
  <c r="F6" i="6" s="1"/>
  <c r="D7" i="1" s="1"/>
  <c r="E7" i="1" s="1"/>
  <c r="F16" i="4"/>
  <c r="F8" i="5"/>
  <c r="F4" i="5"/>
  <c r="F11" i="4"/>
  <c r="F10" i="4"/>
  <c r="F9" i="4"/>
  <c r="F6" i="4"/>
  <c r="F5" i="4"/>
  <c r="F4" i="4"/>
  <c r="F5" i="3"/>
  <c r="F4" i="3"/>
  <c r="F9" i="3"/>
  <c r="F6" i="2"/>
  <c r="F13" i="7" l="1"/>
  <c r="D8" i="1" s="1"/>
  <c r="E8" i="1" s="1"/>
  <c r="F10" i="10"/>
  <c r="D11" i="1" s="1"/>
  <c r="E11" i="1" s="1"/>
  <c r="F21" i="4"/>
  <c r="D5" i="1" s="1"/>
  <c r="E5" i="1" s="1"/>
  <c r="F10" i="5"/>
  <c r="D6" i="1" s="1"/>
  <c r="E6" i="1" s="1"/>
  <c r="F16" i="3"/>
  <c r="D4" i="1" s="1"/>
  <c r="E4" i="1" s="1"/>
  <c r="D3" i="1" l="1"/>
  <c r="E3" i="1" s="1"/>
  <c r="E4" i="12" a="1"/>
  <c r="E4" i="12" s="1"/>
  <c r="D12" i="1" s="1"/>
  <c r="E12" i="1" s="1"/>
  <c r="E4" i="14" l="1" a="1"/>
  <c r="E4" i="14" s="1"/>
  <c r="D15" i="1" s="1"/>
  <c r="E15" i="1" s="1"/>
  <c r="E4" i="13" a="1"/>
  <c r="E4" i="13" s="1"/>
  <c r="D13" i="1" s="1"/>
  <c r="E13" i="1" s="1"/>
  <c r="E4" i="11" a="1"/>
  <c r="E4" i="11" s="1"/>
  <c r="D14" i="1" s="1"/>
  <c r="E14" i="1" s="1"/>
  <c r="E4" i="15" l="1" a="1"/>
  <c r="E4" i="15" s="1"/>
  <c r="D16" i="1" s="1"/>
  <c r="E16" i="1" l="1"/>
  <c r="F18"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<sst xmlns="http://schemas.openxmlformats.org/spreadsheetml/2006/main" count="424" uniqueCount="232">
  <si>
    <t>Total</t>
  </si>
  <si>
    <t>nr</t>
  </si>
  <si>
    <t>Rate</t>
  </si>
  <si>
    <t>m2</t>
  </si>
  <si>
    <t>Notes</t>
  </si>
  <si>
    <t>Facilitating Works</t>
  </si>
  <si>
    <t>Toxic/Hazardous/Contaminated Material Treatment</t>
  </si>
  <si>
    <t>Ref</t>
  </si>
  <si>
    <t>Quantity</t>
  </si>
  <si>
    <t>Measure</t>
  </si>
  <si>
    <t>Description</t>
  </si>
  <si>
    <t>m</t>
  </si>
  <si>
    <t>Sub-Structure</t>
  </si>
  <si>
    <t>Fittings, Furnishings and Equipment</t>
  </si>
  <si>
    <t>Services</t>
  </si>
  <si>
    <t>Sanitary Installations</t>
  </si>
  <si>
    <t>Water Installations</t>
  </si>
  <si>
    <t>Lift and Conveyor Installation</t>
  </si>
  <si>
    <t>Prefabrication buildings and building units</t>
  </si>
  <si>
    <t>Minor Demolition and Alteration Works</t>
  </si>
  <si>
    <t>External Drainage</t>
  </si>
  <si>
    <t>External Services</t>
  </si>
  <si>
    <t>External Works</t>
  </si>
  <si>
    <t>Work to existing buildings</t>
  </si>
  <si>
    <t>Prefabricated buildings and building units</t>
  </si>
  <si>
    <t>Internal Finishes</t>
  </si>
  <si>
    <t>Superstructure</t>
  </si>
  <si>
    <t>Item</t>
  </si>
  <si>
    <t>m3</t>
  </si>
  <si>
    <t>Reinforced in situ concrete ground beams; bar reinforcement; formwork. 450mm x 600mm, reinforcement at 270 kg/m3.</t>
  </si>
  <si>
    <t>Stair Structures</t>
  </si>
  <si>
    <t>2.5.1.1</t>
  </si>
  <si>
    <t>2.4.1.1</t>
  </si>
  <si>
    <t>2.3.2.1</t>
  </si>
  <si>
    <t>2.2.1.1</t>
  </si>
  <si>
    <t>2.1.1.1</t>
  </si>
  <si>
    <t>2.3.4.1</t>
  </si>
  <si>
    <t>2.3.4.2</t>
  </si>
  <si>
    <t>Gutters</t>
  </si>
  <si>
    <t>Rainwater Pipes</t>
  </si>
  <si>
    <t>2.1.0.1</t>
  </si>
  <si>
    <t>2.1.1.2</t>
  </si>
  <si>
    <t>2.1.0.3</t>
  </si>
  <si>
    <t>2.1.5.1</t>
  </si>
  <si>
    <t>2.1.5.4</t>
  </si>
  <si>
    <t>2.1.5.9</t>
  </si>
  <si>
    <t>2.1.5.10</t>
  </si>
  <si>
    <t>2.1.5.12</t>
  </si>
  <si>
    <t>2.1.6.1</t>
  </si>
  <si>
    <t>2.1.7.1</t>
  </si>
  <si>
    <t>2.1.8.2</t>
  </si>
  <si>
    <t>2.1.8.4</t>
  </si>
  <si>
    <t>2.1.8.6</t>
  </si>
  <si>
    <t>2.1.8.7</t>
  </si>
  <si>
    <t>Main Contracrors OH&amp;P</t>
  </si>
  <si>
    <t>%</t>
  </si>
  <si>
    <t>Main Contractors Prelims</t>
  </si>
  <si>
    <t>Main Contractors OH&amp;P</t>
  </si>
  <si>
    <t>Main Contracor Prelims</t>
  </si>
  <si>
    <t>2.1.10</t>
  </si>
  <si>
    <t>2.1.9</t>
  </si>
  <si>
    <t>Project Design Fees</t>
  </si>
  <si>
    <t>2.1.11</t>
  </si>
  <si>
    <t>Design Fees</t>
  </si>
  <si>
    <t>2.1.12</t>
  </si>
  <si>
    <t>2.1.13</t>
  </si>
  <si>
    <t>Structural steel frame, including fittings and fixings: details, including size of measurement for ascertaining the gross internal floor area (GIFA).</t>
  </si>
  <si>
    <t>Roof structure – flat roofs. The area measured is the area of the roof on plan measured to the inside face of the external walls.</t>
  </si>
  <si>
    <t>2.6.1.1a</t>
  </si>
  <si>
    <t>2.6.1.1b</t>
  </si>
  <si>
    <t>2.6.2.1a</t>
  </si>
  <si>
    <t>2.6.2.1b</t>
  </si>
  <si>
    <t>2.8.1.1b</t>
  </si>
  <si>
    <t>2.8.1.1a</t>
  </si>
  <si>
    <t>Precast concrete suspended floors; 1200mm wide suspended slab; 75mm thick
screed; no coverings or finishes</t>
  </si>
  <si>
    <t>N/A</t>
  </si>
  <si>
    <t>Element</t>
  </si>
  <si>
    <t>Element Ref</t>
  </si>
  <si>
    <t>Superstructre</t>
  </si>
  <si>
    <t>FFE</t>
  </si>
  <si>
    <t>Prefab Build &amp; Units</t>
  </si>
  <si>
    <t>Work to Existing Buildings</t>
  </si>
  <si>
    <t>Main Contractor Prelims</t>
  </si>
  <si>
    <t>Main Contractor OH&amp;P</t>
  </si>
  <si>
    <t>Risk</t>
  </si>
  <si>
    <t>Other Development Project Costs</t>
  </si>
  <si>
    <t>Cost Sumary (Updated for both Location and Construction Date)</t>
  </si>
  <si>
    <t>Cost Summary (Updated for Location Only)</t>
  </si>
  <si>
    <t>Cost Summary (Prior to Adjustment)</t>
  </si>
  <si>
    <t>Theatre</t>
  </si>
  <si>
    <t>Optional</t>
  </si>
  <si>
    <t>Bridge</t>
  </si>
  <si>
    <t>Car Park</t>
  </si>
  <si>
    <t>Option 1 (Mount View Academny, London)</t>
  </si>
  <si>
    <t>Landscaping</t>
  </si>
  <si>
    <t>Site Clearance</t>
  </si>
  <si>
    <t>Surveys</t>
  </si>
  <si>
    <t>Additional Foundations</t>
  </si>
  <si>
    <t>Transport Assessment</t>
  </si>
  <si>
    <t>Original Rate</t>
  </si>
  <si>
    <t>Adjusted Rate</t>
  </si>
  <si>
    <t>Unit of Measure</t>
  </si>
  <si>
    <t>Architectual Watching Brief</t>
  </si>
  <si>
    <t>Option 2 (Similar Project)</t>
  </si>
  <si>
    <t>Break out Existing Hardstanding</t>
  </si>
  <si>
    <t>Breakout and dispose</t>
  </si>
  <si>
    <t>UXO</t>
  </si>
  <si>
    <t>Ground Investigation</t>
  </si>
  <si>
    <t>Environmental Report</t>
  </si>
  <si>
    <r>
      <rPr>
        <b/>
        <sz val="12"/>
        <color theme="1"/>
        <rFont val="Arial"/>
        <family val="2"/>
      </rPr>
      <t>Provisional Sum:</t>
    </r>
    <r>
      <rPr>
        <sz val="12"/>
        <color theme="1"/>
        <rFont val="Arial"/>
        <family val="2"/>
      </rPr>
      <t xml:space="preserve"> Japenese Knott Weed</t>
    </r>
  </si>
  <si>
    <t>12.5m2 per space, 18m2 per disabled.  1 space per 5 seats allowed for 10% disabled</t>
  </si>
  <si>
    <t>based on hazardous material. 9000m2 x 600mm depth</t>
  </si>
  <si>
    <t>Spons m2 rate</t>
  </si>
  <si>
    <t>Prelims</t>
  </si>
  <si>
    <t>7m rule @ 5% of site area</t>
  </si>
  <si>
    <t>Misc</t>
  </si>
  <si>
    <t>Drainage Report</t>
  </si>
  <si>
    <t>Total Funding Required</t>
  </si>
  <si>
    <t>T1</t>
  </si>
  <si>
    <t>T2</t>
  </si>
  <si>
    <t>T3</t>
  </si>
  <si>
    <t>L1</t>
  </si>
  <si>
    <t>L2</t>
  </si>
  <si>
    <t>L3</t>
  </si>
  <si>
    <t>L4</t>
  </si>
  <si>
    <t>L6</t>
  </si>
  <si>
    <t>S1</t>
  </si>
  <si>
    <t>S2</t>
  </si>
  <si>
    <t>S3</t>
  </si>
  <si>
    <t>S4</t>
  </si>
  <si>
    <t>S5</t>
  </si>
  <si>
    <t>S6</t>
  </si>
  <si>
    <t>S7</t>
  </si>
  <si>
    <t>S8</t>
  </si>
  <si>
    <t>S9</t>
  </si>
  <si>
    <t>O1</t>
  </si>
  <si>
    <t>O2</t>
  </si>
  <si>
    <t>P1</t>
  </si>
  <si>
    <t>P2</t>
  </si>
  <si>
    <t>P3</t>
  </si>
  <si>
    <t>95M Bridge x 5m width based on approximate sizes</t>
  </si>
  <si>
    <t>2,3 &amp; 4. Pile Foundaions with Beam support</t>
  </si>
  <si>
    <t>Block paving on a permiable base</t>
  </si>
  <si>
    <t>Bird Survey</t>
  </si>
  <si>
    <t>Bat Survey</t>
  </si>
  <si>
    <t xml:space="preserve"> Feasability Cost Plan for Joseph Parry Theatre</t>
  </si>
  <si>
    <t>Flood Risk Assessment</t>
  </si>
  <si>
    <t>2.1.3.1</t>
  </si>
  <si>
    <t>2.1.3.3</t>
  </si>
  <si>
    <t>No allowance to be made for soft furnishings.</t>
  </si>
  <si>
    <t>Theatre Seating</t>
  </si>
  <si>
    <t>2.1.5.7</t>
  </si>
  <si>
    <t>2.1.5.8</t>
  </si>
  <si>
    <t>Communication, Security and Control Systems</t>
  </si>
  <si>
    <t>Fire and Lighting Protection</t>
  </si>
  <si>
    <t>Fuel Installations</t>
  </si>
  <si>
    <t>Electrical Installations</t>
  </si>
  <si>
    <t>Ventilation</t>
  </si>
  <si>
    <t>2.1.5.11</t>
  </si>
  <si>
    <t>Ceiling Finishes</t>
  </si>
  <si>
    <t>Excavate to form piling mat; supply and lay imported hardcore - recycled brick and similar to form mat.</t>
  </si>
  <si>
    <t>Supply and install concrete Continuous Flight Auger (CFA) piles; cart away inactive spoil. 15m long pile; 900mm diamaeter. Reinforced concrete CFA Piles.</t>
  </si>
  <si>
    <t>Privision of Plant (1nr Rig); including bringing to and removing from site; maintenance, erection and dismantling at each pile position.</t>
  </si>
  <si>
    <t>Screeds to cores and common areas; 150mm thick to make up levels</t>
  </si>
  <si>
    <t>2.1.3.1a</t>
  </si>
  <si>
    <t>Timber acoustic wall finsihes to theatre</t>
  </si>
  <si>
    <t>Concrete Wall Finishes</t>
  </si>
  <si>
    <t>Alllow to remove japenese knott weed. Provisional Sum 5% of site area 7m rule</t>
  </si>
  <si>
    <t>Radon Barrier</t>
  </si>
  <si>
    <t>2.6.1.1c</t>
  </si>
  <si>
    <t>2.8.1.1c</t>
  </si>
  <si>
    <t>Toilet Doors</t>
  </si>
  <si>
    <t>Aluminium external doorsets, incl. all ironmongery, double</t>
  </si>
  <si>
    <t>Automatic high capacity revolving doors; 2-wing ASSA ABLOY UniTurn providing safe hands free operation with capacity for multiple occupants and trolleys per compartment. Modern modular design
with two centre passage manually pivoting break out door leaves arranged between two rotating showcases. Curved glazed outer walls and canopy enclose a whole rotating radially segmented ceiling, fixed semi-circular dustcovers and load-bearing peripheral drive with imbedded Configurable Digital Control. System including normal installation to comply with BS7036–0-2014 / BS-EN16005, complete with the installer’s Declaration of Conformity in accordance with UniTurn High Capacity Automatic Revolving Door;
2 wing 5400mm dia., 2200mm internal height</t>
  </si>
  <si>
    <t>75mm thick lightweight bituminous screed and vapour barrier.</t>
  </si>
  <si>
    <t>Allowed for edges to flat roofs; code 4 lead drip dresses into gutter; 230mm x 25mm painted softwood fascia; buildup. 100mm uPVC gutter.</t>
  </si>
  <si>
    <t>Metal rainscreen cladding system, two finishes, including Metsec, concealed fixings, flashings</t>
  </si>
  <si>
    <t>Hardwood panelled; hardwood lining; hardwood architrave; aluminium
ironmongery (latch only); brass or stainless ironmongery (latch only); painting
and polishing
single leaf; four panelled doors; mouldings</t>
  </si>
  <si>
    <t>Hardwood panelled; hardwood lining; hardwood architrave; aluminium ironmongery (latch only); brass or stainless ironmongery (latch only); painting and polishing double leaf; four panelled doors; mouldings</t>
  </si>
  <si>
    <t>Plaster to soffits
plaster skim coat to plasterboard ceilings 
Emulsion paint to plaster; one mist and two coats</t>
  </si>
  <si>
    <t>two coat sand cement render and emulsion finish</t>
  </si>
  <si>
    <t>security fencing; 2400mm high painted plywood
hoarding</t>
  </si>
  <si>
    <t>Tree planting
semi-mature or mature tree, 40–45cm girth</t>
  </si>
  <si>
    <t>Provisional Sum; allowing for laying electric, water and gas as well as connection</t>
  </si>
  <si>
    <t>Drainage</t>
  </si>
  <si>
    <t>Provisional Sum</t>
  </si>
  <si>
    <t>396 shown on drawings. Allowed for an additional 10% due to limited information.</t>
  </si>
  <si>
    <t>Passenger lifts (standard brushed stainless steel finish; 2 panel centre opening doors). 13 person; 6 stops</t>
  </si>
  <si>
    <t>Gross internal floor area (unless described otherwise); Including fire alarm,
public address system, security installation unless stated otherwise</t>
  </si>
  <si>
    <t>Gas mains service to plantroom. Gross internal floor area</t>
  </si>
  <si>
    <t>Based on Gifa</t>
  </si>
  <si>
    <t>Walling systems; stick curtain walling with double glazed units, aluminium structural framing
and spandrel rails. Standard colour powder coated capped. Measured 185.15m2 allowed for 250m2 due to drawing inaccruancies.</t>
  </si>
  <si>
    <t>Based on 5m2 windows to Fire escpae</t>
  </si>
  <si>
    <t>Measured 175m2. Allowed extra due to drawing innacruacies.
Steel windows (U-value = 1.6W/m2 K)
Standard windows
double glazed; powder coated</t>
  </si>
  <si>
    <t>110mm diamater uPVC downpipes fixing to backgrounds; including offsets and shoes.</t>
  </si>
  <si>
    <t>Suspended slab; permanent steel shuttering with 130mm thick concrete; no
coverings or finishes
up to 6 storeys.
Additional GIFA used to allow for the vaulted areas.</t>
  </si>
  <si>
    <t>Additional GIFA used to allow for the vaulted areas.</t>
  </si>
  <si>
    <t>2.1.1.3a</t>
  </si>
  <si>
    <t>2.1.1.3b</t>
  </si>
  <si>
    <t>2.1.1.3c</t>
  </si>
  <si>
    <t>2.1.1.4a</t>
  </si>
  <si>
    <t>2.1.1.4b</t>
  </si>
  <si>
    <t>2.1.1.4c</t>
  </si>
  <si>
    <t>2.1.1.5a</t>
  </si>
  <si>
    <t>2.1.1.5b</t>
  </si>
  <si>
    <t>2.1.1.5c</t>
  </si>
  <si>
    <t>Rooflights, skylights, roof windows and frames;
pre-glazed; treated Nordic Red Pine and
aluminium trimmed Velux windows GGU 3070 or
other equal; type U flashings and soakers (for
tiles and pantiles up to 45mm deep), and sealed
double glazing unit (trimming opening not
included)
Roof windows</t>
  </si>
  <si>
    <t>Permeable concrete block paving; 80mm thick Formpave Aquaflow or equal;
maximum gradient 5%; laid on 50mm sand/gravel; subbase 365mm thick
clean crushed angular non plastic aggregate, geotextiles filter layer to top and
bottom of subbases</t>
  </si>
  <si>
    <t>350Lm x 2.5 high = 875m2</t>
  </si>
  <si>
    <t>Internal Walls; Plater bord with a plaster finish</t>
  </si>
  <si>
    <t>2.7.1.1a</t>
  </si>
  <si>
    <t>Standard Internal Days</t>
  </si>
  <si>
    <t>2.1.3.2b</t>
  </si>
  <si>
    <t>2.1.3.2a</t>
  </si>
  <si>
    <t>Floor Finishes - Main Building</t>
  </si>
  <si>
    <t>2.1.8.8</t>
  </si>
  <si>
    <t>Floor Finishes - Carpet, heavy duty carpet tiles, including timber
skirting</t>
  </si>
  <si>
    <t>Theatre Building</t>
  </si>
  <si>
    <t>Building B</t>
  </si>
  <si>
    <t>Building C</t>
  </si>
  <si>
    <t>Cost not available at this time</t>
  </si>
  <si>
    <t>2.1.8.9</t>
  </si>
  <si>
    <t>Surveys - Provisional Sum</t>
  </si>
  <si>
    <t>Assumptions</t>
  </si>
  <si>
    <t>Further information will become available in terms of accurate measurements</t>
  </si>
  <si>
    <t>Excavate  pit in firm ground by machine, partial back fill, partial disposal, support, compaction, cut off pile and reinforcement, formwork; reinforced in situ concrete cap 25 N/mm2; reinforcement at 50 kg/m3; rates per cap for cap size. 900mm x 900mm x 1000mm; 1-2 piles. All piles to installed through soil extraction due to surrounding conservation area.</t>
  </si>
  <si>
    <t>Extra allowance made to allow for Cor-Ten Steel Finish.</t>
  </si>
  <si>
    <t>2.1.4.1b</t>
  </si>
  <si>
    <t>2.1.4.1a</t>
  </si>
  <si>
    <t>Risk built into the project due to the incomplete design and modelling issues, and increased risk allowance has been made to ensure covereage of desgin changes as the work progresses.</t>
  </si>
  <si>
    <t>Curtain Wallings System;
Walling systems; stick curtain walling with double glazed units, aluminium structural framing
and spandrel rails. Standard colour powder coated capped.</t>
  </si>
  <si>
    <t>Aluminium windows (U-value = 1.6W/m2 K)
Standard windows
double glazed; powder coated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</si>
</sst>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4" x14ac:knownFonts="1">
    <font>
      <sz val="12"/>
      <color theme="1"/>
      <name val="Arial"/>
      <family val="2"/>
    </font>
    <font>
      <b/>
      <sz val="12"/>
      <color theme="1"/>
      <name val="Arial"/>
      <family val="2"/>
    </font>
    <font>
      <b/>
      <u/>
      <sz val="12"/>
      <color theme="1"/>
      <name val="Arial"/>
      <family val="2"/>
    </font>
    <font>
      <sz val="8"/>
      <name val="Arial"/>
      <family val="2"/>
    </font>
  </fonts>
  <fills count="3">
    <fill>
      <patternFill patternType="none"/>
    </fill>
    <fill>
      <patternFill patternType="gray125"/>
    </fill>
    <fill>
      <patternFill patternType="solid">
        <fgColor rgb="FFFF0000"/>
        <bgColor indexed="64"/>
      </patternFill>
    </fill>
  </fills>
  <borders count="1">
    <border>
      <left/>
      <right/>
      <top/>
      <bottom/>
      <diagonal/>
    </border>
  </borders>
  <cellStyleXfs count="1">
    <xf numFmtId="0" fontId="0" fillId="0" borderId="0"/>
  </cellStyleXfs>
  <cellXfs count="39">
    <xf numFmtId="0" fontId="0" fillId="0" borderId="0" xfId="0"/>
    <xf numFmtId="0" fontId="0" fillId="0" borderId="0" xfId="0" applyAlignment="1">
      <alignment horizontal="center"/>
    </xf>
    <xf numFmtId="44" fontId="0" fillId="0" borderId="0" xfId="0" applyNumberFormat="1"/>
    <xf numFmtId="0" fontId="0" fillId="0" borderId="0" xfId="0" applyAlignment="1">
      <alignment wrapText="1"/>
    </xf>
    <xf numFmtId="0" fontId="1" fillId="0" borderId="0" xfId="0" applyFont="1"/>
    <xf numFmtId="0" fontId="2" fillId="0" borderId="0" xfId="0" applyFont="1"/>
    <xf numFmtId="0" fontId="0" fillId="0" borderId="0" xfId="0" applyAlignment="1">
      <alignment horizontal="right"/>
    </xf>
    <xf numFmtId="0" fontId="1" fillId="0" borderId="0" xfId="0" applyFont="1" applyAlignment="1">
      <alignment horizontal="center"/>
    </xf>
    <xf numFmtId="0" fontId="1" fillId="0" borderId="0" xfId="0" applyFont="1" applyAlignment="1">
      <alignment wrapText="1"/>
    </xf>
    <xf numFmtId="0" fontId="1" fillId="0" borderId="0" xfId="0" applyFont="1" applyAlignment="1">
      <alignment horizontal="right" wrapText="1"/>
    </xf>
    <xf numFmtId="44" fontId="1" fillId="0" borderId="0" xfId="0" applyNumberFormat="1" applyFont="1"/>
    <xf numFmtId="0" fontId="0" fillId="0" borderId="0" xfId="0" applyAlignment="1">
      <alignment horizontal="center" vertical="center"/>
    </xf>
    <xf numFmtId="0" fontId="0" fillId="0" borderId="0" xfId="0" applyAlignment="1">
      <alignment horizontal="center" vertical="center" wrapText="1"/>
    </xf>
    <xf numFmtId="44" fontId="0" fillId="0" borderId="0" xfId="0" applyNumberFormat="1" applyAlignment="1">
      <alignment horizontal="center" vertical="center"/>
    </xf>
    <xf numFmtId="44" fontId="0" fillId="0" borderId="0" xfId="0" applyNumberFormat="1" applyAlignment="1">
      <alignment horizontal="right" vertical="center"/>
    </xf>
    <xf numFmtId="0" fontId="0" fillId="0" borderId="0" xfId="0" applyAlignment="1">
      <alignment vertical="center" wrapText="1"/>
    </xf>
    <xf numFmtId="0" fontId="0" fillId="0" borderId="0" xfId="0" applyAlignment="1">
      <alignment vertical="center"/>
    </xf>
    <xf numFmtId="44" fontId="0" fillId="0" borderId="0" xfId="0" applyNumberFormat="1" applyAlignment="1">
      <alignment vertical="center"/>
    </xf>
    <xf numFmtId="0" fontId="1" fillId="0" borderId="0" xfId="0" applyFont="1" applyAlignment="1">
      <alignment horizontal="center" vertical="center"/>
    </xf>
    <xf numFmtId="0" fontId="1" fillId="0" borderId="0" xfId="0" applyFont="1" applyAlignment="1">
      <alignment horizontal="right"/>
    </xf>
    <xf numFmtId="0" fontId="1" fillId="0" borderId="0" xfId="0" applyFont="1" applyAlignment="1">
      <alignment horizontal="center" vertical="center" wrapText="1"/>
    </xf>
    <xf numFmtId="44" fontId="1" fillId="0" borderId="0" xfId="0" applyNumberFormat="1" applyFont="1" applyAlignment="1">
      <alignment vertical="center"/>
    </xf>
    <xf numFmtId="0" fontId="1" fillId="0" borderId="0" xfId="0" applyFont="1" applyAlignment="1">
      <alignment horizontal="left"/>
    </xf>
    <xf numFmtId="0" fontId="1" fillId="0" borderId="0" xfId="0" applyFont="1" applyAlignment="1">
      <alignment horizontal="center" vertical="top" wrapText="1"/>
    </xf>
    <xf numFmtId="0" fontId="0" fillId="0" borderId="0" xfId="0" applyAlignment="1">
      <alignment horizontal="right" vertical="center"/>
    </xf>
    <xf numFmtId="0" fontId="1" fillId="0" borderId="0" xfId="0" applyFont="1" applyAlignment="1">
      <alignment vertical="center"/>
    </xf>
    <xf numFmtId="0" fontId="1" fillId="0" borderId="0" xfId="0" applyFont="1" applyAlignment="1">
      <alignment vertical="center" wrapText="1"/>
    </xf>
    <xf numFmtId="44" fontId="0" fillId="0" borderId="0" xfId="0" applyNumberFormat="1" applyAlignment="1">
      <alignment horizontal="center"/>
    </xf>
    <xf numFmtId="0" fontId="0" fillId="2" borderId="0" xfId="0" applyFill="1" applyAlignment="1">
      <alignment horizontal="right" vertical="center" wrapText="1"/>
    </xf>
    <xf numFmtId="0" fontId="0" fillId="2" borderId="0" xfId="0" applyFill="1" applyAlignment="1">
      <alignment horizontal="right" wrapText="1"/>
    </xf>
    <xf numFmtId="44" fontId="0" fillId="2" borderId="0" xfId="0" applyNumberFormat="1" applyFill="1"/>
    <xf numFmtId="0" fontId="0" fillId="2" borderId="0" xfId="0" applyFill="1" applyAlignment="1">
      <alignment vertical="center"/>
    </xf>
    <xf numFmtId="44" fontId="0" fillId="2" borderId="0" xfId="0" applyNumberFormat="1" applyFill="1" applyAlignment="1">
      <alignment horizontal="center" vertical="center"/>
    </xf>
    <xf numFmtId="44" fontId="0" fillId="2" borderId="0" xfId="0" applyNumberFormat="1" applyFill="1" applyAlignment="1">
      <alignment vertical="center"/>
    </xf>
    <xf numFmtId="0" fontId="0" fillId="0" borderId="0" xfId="0" applyAlignment="1">
      <alignment horizontal="right" vertical="center" wrapText="1"/>
    </xf>
    <xf numFmtId="0" fontId="0" fillId="0" borderId="0" xfId="0" applyAlignment="1">
      <alignment horizontal="right" wrapText="1"/>
    </xf>
    <xf numFmtId="0" fontId="1" fillId="0" borderId="0" xfId="0" applyFont="1" applyAlignment="1">
      <alignment horizontal="right" vertical="center"/>
    </xf>
    <xf numFmtId="44" fontId="1" fillId="0" borderId="0" xfId="0" applyNumberFormat="1" applyFont="1" applyAlignment="1">
      <alignment horizontal="center" vertical="center"/>
    </xf>
    <xf numFmtId="0" fontId="0" fillId="0" borderId="0" xfId="0"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391583</xdr:colOff>
      <xdr:row>4</xdr:row>
      <xdr:rowOff>93622</xdr:rowOff>
    </xdr:to>
    <xdr:pic>
      <xdr:nvPicPr>
        <xdr:cNvPr id="5" name="Picture 4" descr="A logo for a construction company&#10;&#10;Description automatically generated">
          <a:extLst>
            <a:ext uri="{FF2B5EF4-FFF2-40B4-BE49-F238E27FC236}">
              <a16:creationId xmlns:a16="http://schemas.microsoft.com/office/drawing/2014/main" id="{CF08A6DE-734E-C9E9-6F3D-13BE9125F291}"/>
            </a:ext>
          </a:extLst>
        </xdr:cNvPr>
        <xdr:cNvPicPr>
          <a:picLocks noChangeAspect="1"/>
        </xdr:cNvPicPr>
      </xdr:nvPicPr>
      <xdr:blipFill>
        <a:blip xmlns:r="http://schemas.openxmlformats.org/officeDocument/2006/relationships" r:embed="rId1"/>
        <a:srcRect l="1449" r="-188" b="23141"/>
        <a:stretch/>
      </xdr:blipFill>
      <xdr:spPr>
        <a:xfrm>
          <a:off x="0" y="0"/>
          <a:ext cx="1153583" cy="8979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10</xdr:row>
      <xdr:rowOff>0</xdr:rowOff>
    </xdr:from>
    <xdr:to>
      <xdr:col>6</xdr:col>
      <xdr:colOff>1765300</xdr:colOff>
      <xdr:row>33</xdr:row>
      <xdr:rowOff>154233</xdr:rowOff>
    </xdr:to>
    <xdr:pic>
      <xdr:nvPicPr>
        <xdr:cNvPr id="5" name="Picture 4">
          <a:extLst>
            <a:ext uri="{FF2B5EF4-FFF2-40B4-BE49-F238E27FC236}">
              <a16:creationId xmlns:a16="http://schemas.microsoft.com/office/drawing/2014/main" id="{988EBF20-8559-0318-C7A2-22040729CC44}"/>
            </a:ext>
          </a:extLst>
        </xdr:cNvPr>
        <xdr:cNvPicPr>
          <a:picLocks noChangeAspect="1"/>
        </xdr:cNvPicPr>
      </xdr:nvPicPr>
      <xdr:blipFill>
        <a:blip xmlns:r="http://schemas.openxmlformats.org/officeDocument/2006/relationships" r:embed="rId1"/>
        <a:stretch>
          <a:fillRect/>
        </a:stretch>
      </xdr:blipFill>
      <xdr:spPr>
        <a:xfrm>
          <a:off x="114300" y="2286000"/>
          <a:ext cx="10541000" cy="482783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5"/>
  <sheetViews>
    <sheetView topLeftCell="A18" zoomScale="60" zoomScaleNormal="60" workbookViewId="0">
      <selection activeCell="I34" sqref="I34"/>
    </sheetView>
  </sheetViews>
  <sheetFormatPr defaultRowHeight="15.5" x14ac:dyDescent="0.35"/>
  <cols>
    <col min="2" max="2" width="37.3046875" customWidth="1"/>
    <col min="3" max="3" width="6.3046875" customWidth="1"/>
    <col min="4" max="4" width="12.53515625" hidden="1" customWidth="1"/>
    <col min="5" max="5" width="23.765625" customWidth="1"/>
    <col min="6" max="6" width="22.61328125" customWidth="1"/>
    <col min="7" max="7" width="19.4609375" customWidth="1"/>
    <col min="8" max="8" width="19.84375" bestFit="1" customWidth="1"/>
    <col min="9" max="9" width="72.15234375" bestFit="1" customWidth="1"/>
  </cols>
  <sheetData>
    <row r="1" spans="1:9" x14ac:dyDescent="0.35">
      <c r="C1" s="5"/>
    </row>
    <row r="4" spans="1:9" x14ac:dyDescent="0.35">
      <c r="C4" s="5" t="s">
        <v>145</v>
      </c>
    </row>
    <row r="7" spans="1:9" x14ac:dyDescent="0.35">
      <c r="A7" s="4" t="s">
        <v>7</v>
      </c>
      <c r="D7" s="7" t="s">
        <v>99</v>
      </c>
      <c r="E7" s="18" t="s">
        <v>9</v>
      </c>
      <c r="F7" s="18" t="s">
        <v>101</v>
      </c>
      <c r="G7" s="18" t="s">
        <v>100</v>
      </c>
      <c r="H7" s="18" t="s">
        <v>0</v>
      </c>
    </row>
    <row r="8" spans="1:9" x14ac:dyDescent="0.35">
      <c r="B8" s="26" t="s">
        <v>89</v>
      </c>
      <c r="C8" s="8"/>
    </row>
    <row r="9" spans="1:9" x14ac:dyDescent="0.35">
      <c r="A9" t="s">
        <v>118</v>
      </c>
      <c r="B9" s="28" t="s">
        <v>93</v>
      </c>
      <c r="C9" s="29"/>
      <c r="D9" s="30">
        <v>1643.1409195844556</v>
      </c>
      <c r="E9" s="31">
        <v>3000</v>
      </c>
      <c r="F9" s="32" t="s">
        <v>3</v>
      </c>
      <c r="G9" s="33">
        <f>(D9/144)*204</f>
        <v>2327.782969411312</v>
      </c>
      <c r="H9" s="33">
        <f>SUM(G9*E9)</f>
        <v>6983348.9082339359</v>
      </c>
    </row>
    <row r="10" spans="1:9" x14ac:dyDescent="0.35">
      <c r="A10" t="s">
        <v>119</v>
      </c>
      <c r="B10" s="28" t="s">
        <v>103</v>
      </c>
      <c r="C10" s="29"/>
      <c r="D10" s="30">
        <v>2857.1428571428573</v>
      </c>
      <c r="E10" s="31">
        <v>3000</v>
      </c>
      <c r="F10" s="32" t="s">
        <v>3</v>
      </c>
      <c r="G10" s="32">
        <f>(D10/110)*204</f>
        <v>5298.7012987012995</v>
      </c>
      <c r="H10" s="33">
        <f>SUM(G10*E10)</f>
        <v>15896103.896103898</v>
      </c>
    </row>
    <row r="11" spans="1:9" x14ac:dyDescent="0.35">
      <c r="A11" t="s">
        <v>120</v>
      </c>
      <c r="B11" s="34" t="s">
        <v>112</v>
      </c>
      <c r="C11" s="35"/>
      <c r="D11" s="2">
        <v>7781.48</v>
      </c>
      <c r="E11">
        <v>3000</v>
      </c>
      <c r="F11" s="1" t="s">
        <v>3</v>
      </c>
      <c r="G11" s="2">
        <f>SUM((D11/332)*396)*0.86</f>
        <v>7982.1109301204806</v>
      </c>
      <c r="H11" s="17">
        <f>SUM(G11*E11)</f>
        <v>23946332.790361442</v>
      </c>
    </row>
    <row r="12" spans="1:9" ht="4.5" customHeight="1" x14ac:dyDescent="0.35">
      <c r="B12" s="16"/>
      <c r="D12" s="11"/>
      <c r="F12" s="27"/>
      <c r="G12" s="11"/>
      <c r="H12" s="17"/>
    </row>
    <row r="13" spans="1:9" x14ac:dyDescent="0.35">
      <c r="B13" s="25" t="s">
        <v>94</v>
      </c>
      <c r="C13" s="25"/>
      <c r="D13" s="11"/>
      <c r="E13" s="16"/>
      <c r="F13" s="13"/>
      <c r="G13" s="13"/>
      <c r="H13" s="17"/>
    </row>
    <row r="14" spans="1:9" x14ac:dyDescent="0.35">
      <c r="A14" t="s">
        <v>121</v>
      </c>
      <c r="B14" s="24" t="s">
        <v>104</v>
      </c>
      <c r="C14" s="24"/>
      <c r="D14" s="11">
        <v>85</v>
      </c>
      <c r="E14" s="16">
        <v>2250</v>
      </c>
      <c r="F14" s="13" t="s">
        <v>28</v>
      </c>
      <c r="G14" s="2">
        <f>SUM((D14/332)*396)*0.86</f>
        <v>87.191566265060246</v>
      </c>
      <c r="H14" s="17">
        <f t="shared" ref="H14:H18" si="0">SUM(G14*E14)</f>
        <v>196181.02409638555</v>
      </c>
      <c r="I14" t="s">
        <v>105</v>
      </c>
    </row>
    <row r="15" spans="1:9" x14ac:dyDescent="0.35">
      <c r="A15" t="s">
        <v>122</v>
      </c>
      <c r="B15" s="24" t="s">
        <v>95</v>
      </c>
      <c r="C15" s="24"/>
      <c r="D15" s="11">
        <v>200</v>
      </c>
      <c r="E15" s="16">
        <v>5400</v>
      </c>
      <c r="F15" s="13" t="s">
        <v>28</v>
      </c>
      <c r="G15" s="13">
        <f>((D15/330)*396)*0.86</f>
        <v>206.4</v>
      </c>
      <c r="H15" s="17">
        <f t="shared" si="0"/>
        <v>1114560</v>
      </c>
      <c r="I15" t="s">
        <v>111</v>
      </c>
    </row>
    <row r="16" spans="1:9" x14ac:dyDescent="0.35">
      <c r="A16" t="s">
        <v>123</v>
      </c>
      <c r="B16" s="24" t="s">
        <v>109</v>
      </c>
      <c r="C16" s="24"/>
      <c r="D16" s="11">
        <v>200</v>
      </c>
      <c r="E16" s="16">
        <v>3150</v>
      </c>
      <c r="F16" s="13" t="s">
        <v>28</v>
      </c>
      <c r="G16" s="13">
        <f>((D16/330)*396)*0.86</f>
        <v>206.4</v>
      </c>
      <c r="H16" s="17">
        <f t="shared" si="0"/>
        <v>650160</v>
      </c>
      <c r="I16" t="s">
        <v>114</v>
      </c>
    </row>
    <row r="17" spans="1:9" x14ac:dyDescent="0.35">
      <c r="A17" t="s">
        <v>124</v>
      </c>
      <c r="B17" s="24" t="s">
        <v>97</v>
      </c>
      <c r="C17" s="24"/>
      <c r="D17" s="11">
        <v>87.01</v>
      </c>
      <c r="E17" s="16">
        <v>3150</v>
      </c>
      <c r="F17" s="13" t="s">
        <v>3</v>
      </c>
      <c r="G17" s="13">
        <f>((D17/330)*396)*0.86</f>
        <v>89.794319999999985</v>
      </c>
      <c r="H17" s="17">
        <f t="shared" si="0"/>
        <v>282852.10799999995</v>
      </c>
      <c r="I17" t="s">
        <v>141</v>
      </c>
    </row>
    <row r="18" spans="1:9" x14ac:dyDescent="0.35">
      <c r="A18" t="s">
        <v>125</v>
      </c>
      <c r="B18" s="24" t="s">
        <v>142</v>
      </c>
      <c r="C18" s="24"/>
      <c r="D18" s="11">
        <v>85</v>
      </c>
      <c r="E18" s="16">
        <v>1600</v>
      </c>
      <c r="F18" s="13" t="s">
        <v>3</v>
      </c>
      <c r="G18" s="13">
        <f>((D18/330)*396)*0.86</f>
        <v>87.72</v>
      </c>
      <c r="H18" s="17">
        <f t="shared" si="0"/>
        <v>140352</v>
      </c>
    </row>
    <row r="19" spans="1:9" ht="4" customHeight="1" x14ac:dyDescent="0.35">
      <c r="B19" s="16"/>
      <c r="C19" s="16"/>
      <c r="D19" s="11"/>
      <c r="E19" s="16"/>
      <c r="F19" s="13"/>
      <c r="G19" s="13"/>
      <c r="H19" s="17"/>
    </row>
    <row r="20" spans="1:9" x14ac:dyDescent="0.35">
      <c r="B20" s="25" t="s">
        <v>96</v>
      </c>
      <c r="C20" s="25"/>
      <c r="D20" s="11"/>
      <c r="E20" s="16"/>
      <c r="F20" s="13"/>
      <c r="G20" s="13"/>
      <c r="H20" s="17">
        <v>50000</v>
      </c>
    </row>
    <row r="21" spans="1:9" x14ac:dyDescent="0.35">
      <c r="A21" t="s">
        <v>126</v>
      </c>
      <c r="B21" s="24" t="s">
        <v>106</v>
      </c>
      <c r="C21" s="24"/>
      <c r="D21" s="11"/>
      <c r="E21" s="16"/>
      <c r="F21" s="13"/>
      <c r="G21" s="13"/>
      <c r="H21" s="17"/>
      <c r="I21" s="16"/>
    </row>
    <row r="22" spans="1:9" x14ac:dyDescent="0.35">
      <c r="A22" t="s">
        <v>127</v>
      </c>
      <c r="B22" s="24" t="s">
        <v>98</v>
      </c>
      <c r="C22" s="24"/>
      <c r="D22" s="11"/>
      <c r="E22" s="16"/>
      <c r="F22" s="13"/>
      <c r="G22" s="13"/>
      <c r="H22" s="17"/>
      <c r="I22" s="16"/>
    </row>
    <row r="23" spans="1:9" x14ac:dyDescent="0.35">
      <c r="A23" t="s">
        <v>128</v>
      </c>
      <c r="B23" s="24" t="s">
        <v>102</v>
      </c>
      <c r="C23" s="24"/>
      <c r="D23" s="11"/>
      <c r="E23" s="16"/>
      <c r="F23" s="13"/>
      <c r="G23" s="13"/>
      <c r="H23" s="17"/>
      <c r="I23" s="16"/>
    </row>
    <row r="24" spans="1:9" x14ac:dyDescent="0.35">
      <c r="A24" t="s">
        <v>129</v>
      </c>
      <c r="B24" s="24" t="s">
        <v>107</v>
      </c>
      <c r="C24" s="24"/>
      <c r="D24" s="11"/>
      <c r="E24" s="16"/>
      <c r="F24" s="13"/>
      <c r="G24" s="13"/>
      <c r="H24" s="17"/>
      <c r="I24" s="16"/>
    </row>
    <row r="25" spans="1:9" x14ac:dyDescent="0.35">
      <c r="A25" t="s">
        <v>130</v>
      </c>
      <c r="B25" s="24" t="s">
        <v>108</v>
      </c>
      <c r="C25" s="24"/>
      <c r="D25" s="11"/>
      <c r="E25" s="16"/>
      <c r="F25" s="13"/>
      <c r="G25" s="13"/>
      <c r="H25" s="17"/>
      <c r="I25" s="16"/>
    </row>
    <row r="26" spans="1:9" x14ac:dyDescent="0.35">
      <c r="A26" t="s">
        <v>131</v>
      </c>
      <c r="B26" s="24" t="s">
        <v>116</v>
      </c>
      <c r="C26" s="24"/>
      <c r="D26" s="11"/>
      <c r="E26" s="16"/>
      <c r="F26" s="13"/>
      <c r="G26" s="13"/>
      <c r="H26" s="17"/>
      <c r="I26" s="16"/>
    </row>
    <row r="27" spans="1:9" x14ac:dyDescent="0.35">
      <c r="A27" t="s">
        <v>132</v>
      </c>
      <c r="B27" s="24" t="s">
        <v>143</v>
      </c>
      <c r="C27" s="24"/>
      <c r="D27" s="11"/>
      <c r="E27" s="16"/>
      <c r="F27" s="13"/>
      <c r="G27" s="13"/>
      <c r="H27" s="17"/>
      <c r="I27" s="16"/>
    </row>
    <row r="28" spans="1:9" x14ac:dyDescent="0.35">
      <c r="A28" t="s">
        <v>133</v>
      </c>
      <c r="B28" s="24" t="s">
        <v>144</v>
      </c>
      <c r="C28" s="24"/>
      <c r="D28" s="11"/>
      <c r="E28" s="16"/>
      <c r="F28" s="13"/>
      <c r="G28" s="13"/>
      <c r="H28" s="17"/>
      <c r="I28" s="16"/>
    </row>
    <row r="29" spans="1:9" x14ac:dyDescent="0.35">
      <c r="A29" t="s">
        <v>134</v>
      </c>
      <c r="B29" s="24" t="s">
        <v>146</v>
      </c>
      <c r="C29" s="24"/>
      <c r="D29" s="11"/>
      <c r="E29" s="16"/>
      <c r="F29" s="13"/>
      <c r="G29" s="13"/>
      <c r="H29" s="17"/>
      <c r="I29" s="16"/>
    </row>
    <row r="30" spans="1:9" x14ac:dyDescent="0.35">
      <c r="C30" s="24"/>
      <c r="D30" s="11"/>
      <c r="F30" s="13"/>
      <c r="G30" s="36" t="s">
        <v>0</v>
      </c>
      <c r="H30" s="21">
        <f>SUM(H11:H28)</f>
        <v>26380437.922457825</v>
      </c>
    </row>
    <row r="31" spans="1:9" ht="3.5" customHeight="1" x14ac:dyDescent="0.35">
      <c r="B31" s="16"/>
      <c r="C31" s="16"/>
      <c r="D31" s="11"/>
      <c r="E31" s="16"/>
      <c r="F31" s="13"/>
      <c r="G31" s="17"/>
      <c r="H31" s="17"/>
    </row>
    <row r="32" spans="1:9" x14ac:dyDescent="0.35">
      <c r="B32" s="25" t="s">
        <v>90</v>
      </c>
      <c r="C32" s="25"/>
      <c r="D32" s="11"/>
      <c r="E32" s="16"/>
      <c r="F32" s="13"/>
      <c r="G32" s="17"/>
      <c r="H32" s="17"/>
    </row>
    <row r="33" spans="1:9" x14ac:dyDescent="0.35">
      <c r="A33" t="s">
        <v>135</v>
      </c>
      <c r="B33" s="24" t="s">
        <v>91</v>
      </c>
      <c r="C33" s="24"/>
      <c r="D33" s="11">
        <v>5300</v>
      </c>
      <c r="E33" s="16">
        <v>475</v>
      </c>
      <c r="F33" s="13" t="s">
        <v>3</v>
      </c>
      <c r="G33" s="13">
        <f>((D33/110)*204)*0.86</f>
        <v>8453.0181818181809</v>
      </c>
      <c r="H33" s="17">
        <f t="shared" ref="H33:H34" si="1">SUM(G33*E33)</f>
        <v>4015183.6363636358</v>
      </c>
      <c r="I33" t="s">
        <v>140</v>
      </c>
    </row>
    <row r="34" spans="1:9" x14ac:dyDescent="0.35">
      <c r="A34" t="s">
        <v>136</v>
      </c>
      <c r="B34" s="24" t="s">
        <v>92</v>
      </c>
      <c r="C34" s="24"/>
      <c r="D34" s="11">
        <v>110</v>
      </c>
      <c r="E34" s="16">
        <v>783</v>
      </c>
      <c r="F34" s="13" t="s">
        <v>3</v>
      </c>
      <c r="G34" s="13">
        <f>((D34/330)*396)*0.86</f>
        <v>113.52</v>
      </c>
      <c r="H34" s="17">
        <f t="shared" si="1"/>
        <v>88886.16</v>
      </c>
      <c r="I34" t="s">
        <v>110</v>
      </c>
    </row>
    <row r="35" spans="1:9" ht="3.5" customHeight="1" x14ac:dyDescent="0.35">
      <c r="B35" s="16"/>
      <c r="C35" s="16"/>
      <c r="D35" s="11"/>
      <c r="E35" s="17"/>
      <c r="F35" s="17"/>
      <c r="G35" s="16"/>
      <c r="H35" s="17"/>
    </row>
    <row r="36" spans="1:9" x14ac:dyDescent="0.35">
      <c r="B36" s="16"/>
      <c r="C36" s="25"/>
      <c r="D36" s="16"/>
      <c r="E36" s="36"/>
      <c r="F36" s="25"/>
      <c r="G36" s="25" t="s">
        <v>0</v>
      </c>
      <c r="H36" s="21"/>
    </row>
    <row r="38" spans="1:9" x14ac:dyDescent="0.35">
      <c r="A38" t="s">
        <v>137</v>
      </c>
      <c r="B38" s="6" t="s">
        <v>113</v>
      </c>
      <c r="H38" s="2">
        <f>SUM(H30:H34)*10%</f>
        <v>3048450.7718821466</v>
      </c>
    </row>
    <row r="39" spans="1:9" x14ac:dyDescent="0.35">
      <c r="A39" t="s">
        <v>138</v>
      </c>
      <c r="B39" s="6" t="s">
        <v>84</v>
      </c>
      <c r="H39" s="2">
        <f>SUM(H30:H35)*7%</f>
        <v>2133915.5403175023</v>
      </c>
    </row>
    <row r="40" spans="1:9" x14ac:dyDescent="0.35">
      <c r="A40" t="s">
        <v>139</v>
      </c>
      <c r="B40" s="6" t="s">
        <v>115</v>
      </c>
      <c r="H40" s="2">
        <f>SUM(H30:H36)*3%</f>
        <v>914535.23156464379</v>
      </c>
    </row>
    <row r="41" spans="1:9" x14ac:dyDescent="0.35">
      <c r="B41" s="6"/>
    </row>
    <row r="42" spans="1:9" x14ac:dyDescent="0.35">
      <c r="H42" s="10">
        <f>SUM(H38:H40)</f>
        <v>6096901.5437642923</v>
      </c>
    </row>
    <row r="45" spans="1:9" x14ac:dyDescent="0.35">
      <c r="E45" s="19" t="s">
        <v>117</v>
      </c>
      <c r="H45" s="10">
        <f>SUM(H42,H30:H36)</f>
        <v>36581409.262585752</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1"/>
  <sheetViews>
    <sheetView topLeftCell="A2" zoomScale="90" zoomScaleNormal="90" workbookViewId="0">
      <selection activeCell="B22" sqref="B22"/>
    </sheetView>
  </sheetViews>
  <sheetFormatPr defaultRowHeight="15.5" x14ac:dyDescent="0.35"/>
  <cols>
    <col min="1" max="1" width="3" customWidth="1"/>
    <col min="2" max="2" width="8.61328125" customWidth="1"/>
    <col min="3" max="3" width="30.53515625" bestFit="1" customWidth="1"/>
    <col min="4" max="4" width="15.921875" customWidth="1"/>
    <col min="5" max="6" width="18" customWidth="1"/>
  </cols>
  <sheetData>
    <row r="1" spans="2:6" x14ac:dyDescent="0.35">
      <c r="B1" s="12"/>
      <c r="C1" s="12"/>
      <c r="D1" s="12"/>
      <c r="E1" s="12"/>
      <c r="F1" s="12"/>
    </row>
    <row r="2" spans="2:6" ht="62" x14ac:dyDescent="0.35">
      <c r="B2" s="20" t="s">
        <v>77</v>
      </c>
      <c r="C2" s="20" t="s">
        <v>76</v>
      </c>
      <c r="D2" s="20" t="s">
        <v>88</v>
      </c>
      <c r="E2" s="20" t="s">
        <v>87</v>
      </c>
      <c r="F2" s="23" t="s">
        <v>86</v>
      </c>
    </row>
    <row r="3" spans="2:6" x14ac:dyDescent="0.35">
      <c r="B3" s="7">
        <v>0</v>
      </c>
      <c r="C3" s="22" t="s">
        <v>5</v>
      </c>
      <c r="D3" s="2">
        <f>'0 Facilitating Works'!F9</f>
        <v>780000</v>
      </c>
      <c r="E3" s="2">
        <f>SUM(D3*0.85)</f>
        <v>663000</v>
      </c>
      <c r="F3" s="2">
        <f t="shared" ref="F3:F14" si="0">SUM(E3/186)*226</f>
        <v>805580.6451612903</v>
      </c>
    </row>
    <row r="4" spans="2:6" x14ac:dyDescent="0.35">
      <c r="B4" s="7">
        <v>1</v>
      </c>
      <c r="C4" s="22" t="s">
        <v>12</v>
      </c>
      <c r="D4" s="2">
        <f>'1 Substructure'!F16</f>
        <v>651052.5</v>
      </c>
      <c r="E4" s="2">
        <f t="shared" ref="E4:E16" si="1">SUM(D4*0.85)</f>
        <v>553394.625</v>
      </c>
      <c r="F4" s="2">
        <f t="shared" si="0"/>
        <v>672404.22177419346</v>
      </c>
    </row>
    <row r="5" spans="2:6" x14ac:dyDescent="0.35">
      <c r="B5" s="7">
        <v>2</v>
      </c>
      <c r="C5" s="22" t="s">
        <v>78</v>
      </c>
      <c r="D5" s="2">
        <f>'2 Superstructure'!F21</f>
        <v>6103278</v>
      </c>
      <c r="E5" s="2">
        <f t="shared" si="1"/>
        <v>5187786.3</v>
      </c>
      <c r="F5" s="2">
        <f t="shared" si="0"/>
        <v>6303439.2677419353</v>
      </c>
    </row>
    <row r="6" spans="2:6" x14ac:dyDescent="0.35">
      <c r="B6" s="7">
        <v>3</v>
      </c>
      <c r="C6" s="22" t="s">
        <v>25</v>
      </c>
      <c r="D6" s="2">
        <f>'3 Internal Finishes'!F10</f>
        <v>787430</v>
      </c>
      <c r="E6" s="2">
        <f t="shared" si="1"/>
        <v>669315.5</v>
      </c>
      <c r="F6" s="2">
        <f t="shared" si="0"/>
        <v>813254.31720430101</v>
      </c>
    </row>
    <row r="7" spans="2:6" x14ac:dyDescent="0.35">
      <c r="B7" s="7">
        <v>4</v>
      </c>
      <c r="C7" s="22" t="s">
        <v>79</v>
      </c>
      <c r="D7" s="2">
        <f>'4 FFE'!F6</f>
        <v>389250</v>
      </c>
      <c r="E7" s="2">
        <f t="shared" si="1"/>
        <v>330862.5</v>
      </c>
      <c r="F7" s="2">
        <f t="shared" si="0"/>
        <v>402015.72580645158</v>
      </c>
    </row>
    <row r="8" spans="2:6" x14ac:dyDescent="0.35">
      <c r="B8" s="7">
        <v>5</v>
      </c>
      <c r="C8" s="22" t="s">
        <v>14</v>
      </c>
      <c r="D8" s="2">
        <f>'5 Services'!F13</f>
        <v>1541200</v>
      </c>
      <c r="E8" s="2">
        <f t="shared" si="1"/>
        <v>1310020</v>
      </c>
      <c r="F8" s="2">
        <f t="shared" si="0"/>
        <v>1591744.7311827957</v>
      </c>
    </row>
    <row r="9" spans="2:6" x14ac:dyDescent="0.35">
      <c r="B9" s="7">
        <v>6</v>
      </c>
      <c r="C9" s="22" t="s">
        <v>80</v>
      </c>
      <c r="D9" s="2">
        <f>'6 Prefab Build &amp; Units'!F6</f>
        <v>0</v>
      </c>
      <c r="E9" s="2">
        <f t="shared" si="1"/>
        <v>0</v>
      </c>
      <c r="F9" s="2">
        <f t="shared" si="0"/>
        <v>0</v>
      </c>
    </row>
    <row r="10" spans="2:6" x14ac:dyDescent="0.35">
      <c r="B10" s="7">
        <v>7</v>
      </c>
      <c r="C10" s="22" t="s">
        <v>81</v>
      </c>
      <c r="D10" s="2">
        <f>'7 Work to Exist Buildings'!F6</f>
        <v>0</v>
      </c>
      <c r="E10" s="2">
        <f t="shared" si="1"/>
        <v>0</v>
      </c>
      <c r="F10" s="2">
        <f t="shared" si="0"/>
        <v>0</v>
      </c>
    </row>
    <row r="11" spans="2:6" x14ac:dyDescent="0.35">
      <c r="B11" s="7">
        <v>8</v>
      </c>
      <c r="C11" s="22" t="s">
        <v>22</v>
      </c>
      <c r="D11" s="2">
        <f>'8 External Works'!F10</f>
        <v>472880.2</v>
      </c>
      <c r="E11" s="2">
        <f t="shared" si="1"/>
        <v>401948.17</v>
      </c>
      <c r="F11" s="2">
        <f t="shared" si="0"/>
        <v>488388.63666666672</v>
      </c>
    </row>
    <row r="12" spans="2:6" x14ac:dyDescent="0.35">
      <c r="B12" s="7">
        <v>9</v>
      </c>
      <c r="C12" s="22" t="s">
        <v>82</v>
      </c>
      <c r="D12" s="2">
        <f>'9 Main Contractor Prelims'!E4</f>
        <v>1072509.07</v>
      </c>
      <c r="E12" s="2">
        <f t="shared" si="1"/>
        <v>911632.7095</v>
      </c>
      <c r="F12" s="2">
        <f t="shared" si="0"/>
        <v>1107682.7545537634</v>
      </c>
    </row>
    <row r="13" spans="2:6" x14ac:dyDescent="0.35">
      <c r="B13" s="7">
        <v>10</v>
      </c>
      <c r="C13" s="22" t="s">
        <v>83</v>
      </c>
      <c r="D13" s="2">
        <f>'10 Main Contractor OH&amp;P'!E4</f>
        <v>1179759.977</v>
      </c>
      <c r="E13" s="2">
        <f t="shared" si="1"/>
        <v>1002795.9804499999</v>
      </c>
      <c r="F13" s="2">
        <f t="shared" si="0"/>
        <v>1218451.0300091398</v>
      </c>
    </row>
    <row r="14" spans="2:6" x14ac:dyDescent="0.35">
      <c r="B14" s="7">
        <v>11</v>
      </c>
      <c r="C14" s="22" t="s">
        <v>61</v>
      </c>
      <c r="D14" s="2">
        <f>'11 Project_design fees'!E4</f>
        <v>589879.98849999998</v>
      </c>
      <c r="E14" s="2">
        <f t="shared" si="1"/>
        <v>501397.99022499996</v>
      </c>
      <c r="F14" s="2">
        <f t="shared" si="0"/>
        <v>609225.5150045699</v>
      </c>
    </row>
    <row r="15" spans="2:6" x14ac:dyDescent="0.35">
      <c r="B15" s="7">
        <v>12</v>
      </c>
      <c r="C15" s="22" t="s">
        <v>85</v>
      </c>
      <c r="D15" s="2">
        <f>'12 Other Dev_Proj Costs'!E4</f>
        <v>1002795.9804500001</v>
      </c>
      <c r="E15" s="2">
        <f t="shared" si="1"/>
        <v>852376.5833825001</v>
      </c>
      <c r="F15" s="2">
        <f>SUM(E15/186)*226</f>
        <v>1035683.3755077689</v>
      </c>
    </row>
    <row r="16" spans="2:6" x14ac:dyDescent="0.35">
      <c r="B16" s="7">
        <v>13</v>
      </c>
      <c r="C16" s="22" t="s">
        <v>84</v>
      </c>
      <c r="D16" s="2">
        <f>'13 Risks'!E4</f>
        <v>2185505.3573924997</v>
      </c>
      <c r="E16" s="2">
        <f t="shared" si="1"/>
        <v>1857679.5537836247</v>
      </c>
      <c r="F16" s="2">
        <f>SUM(E16/186)*226</f>
        <v>2257180.5330919311</v>
      </c>
    </row>
    <row r="17" spans="2:6" ht="9" customHeight="1" x14ac:dyDescent="0.35">
      <c r="B17" s="7"/>
      <c r="C17" s="7"/>
      <c r="D17" s="2"/>
      <c r="E17" s="2"/>
      <c r="F17" s="2"/>
    </row>
    <row r="18" spans="2:6" x14ac:dyDescent="0.35">
      <c r="B18" s="18" t="s">
        <v>0</v>
      </c>
      <c r="C18" s="18"/>
      <c r="D18" s="10"/>
      <c r="F18" s="21">
        <f>SUM(F3:F16)</f>
        <v>17305050.753704805</v>
      </c>
    </row>
    <row r="20" spans="2:6" x14ac:dyDescent="0.35">
      <c r="B20" s="4" t="s">
        <v>223</v>
      </c>
    </row>
    <row r="21" spans="2:6" x14ac:dyDescent="0.35">
      <c r="B21" t="s">
        <v>224</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9"/>
  <sheetViews>
    <sheetView tabSelected="1" topLeftCell="A4" zoomScale="50" zoomScaleNormal="50" workbookViewId="0">
      <selection activeCell="F10" sqref="F10"/>
    </sheetView>
  </sheetViews>
  <sheetFormatPr defaultRowHeight="15.5" x14ac:dyDescent="0.35"/>
  <cols>
    <col min="2" max="2" width="43.15234375" bestFit="1" customWidth="1"/>
    <col min="3" max="3" width="20.07421875" bestFit="1" customWidth="1"/>
    <col min="5" max="6" width="12.84375" bestFit="1" customWidth="1"/>
    <col min="7" max="7" width="26.84375" bestFit="1" customWidth="1"/>
  </cols>
  <sheetData>
    <row r="1" spans="1:16" x14ac:dyDescent="0.35">
      <c r="A1" s="4" t="s">
        <v>5</v>
      </c>
      <c r="B1" s="4"/>
    </row>
    <row r="4" spans="1:16" x14ac:dyDescent="0.35">
      <c r="A4" s="7" t="s">
        <v>7</v>
      </c>
      <c r="B4" s="7" t="s">
        <v>10</v>
      </c>
      <c r="C4" s="7" t="s">
        <v>8</v>
      </c>
      <c r="D4" s="7" t="s">
        <v>9</v>
      </c>
      <c r="E4" s="7" t="s">
        <v>2</v>
      </c>
      <c r="F4" s="7" t="s">
        <v>0</v>
      </c>
      <c r="G4" s="7" t="s">
        <v>4</v>
      </c>
    </row>
    <row r="5" spans="1:16" ht="51.5" customHeight="1" x14ac:dyDescent="0.35">
      <c r="A5" t="s">
        <v>40</v>
      </c>
      <c r="B5" s="3" t="s">
        <v>6</v>
      </c>
      <c r="C5">
        <v>3150</v>
      </c>
      <c r="D5" s="1" t="s">
        <v>28</v>
      </c>
      <c r="E5" s="2">
        <v>200</v>
      </c>
      <c r="F5" s="2">
        <f>SUM(E5*C5)</f>
        <v>630000</v>
      </c>
      <c r="G5" s="3" t="s">
        <v>167</v>
      </c>
      <c r="M5" s="16"/>
      <c r="N5" s="13"/>
      <c r="O5" s="13"/>
      <c r="P5" s="17"/>
    </row>
    <row r="6" spans="1:16" x14ac:dyDescent="0.35">
      <c r="A6" t="s">
        <v>42</v>
      </c>
      <c r="B6" t="s">
        <v>168</v>
      </c>
      <c r="C6" s="3"/>
      <c r="D6" s="1" t="s">
        <v>3</v>
      </c>
      <c r="E6" s="2">
        <v>10.5</v>
      </c>
      <c r="F6" s="2">
        <f>SUM(E6*C6)</f>
        <v>0</v>
      </c>
      <c r="G6" s="3" t="s">
        <v>220</v>
      </c>
    </row>
    <row r="7" spans="1:16" x14ac:dyDescent="0.35">
      <c r="B7" t="s">
        <v>222</v>
      </c>
      <c r="C7" s="3">
        <v>1</v>
      </c>
      <c r="D7" s="1" t="s">
        <v>27</v>
      </c>
      <c r="E7" s="2">
        <v>150000</v>
      </c>
      <c r="F7" s="2">
        <f>SUM(E7*C7)</f>
        <v>150000</v>
      </c>
      <c r="G7" s="3"/>
    </row>
    <row r="9" spans="1:16" x14ac:dyDescent="0.35">
      <c r="C9" s="19" t="s">
        <v>0</v>
      </c>
      <c r="F9" s="2">
        <f>SUM(F5:F7)</f>
        <v>780000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6"/>
  <sheetViews>
    <sheetView topLeftCell="A10" zoomScale="70" zoomScaleNormal="70" workbookViewId="0">
      <selection activeCell="B11" sqref="B11"/>
    </sheetView>
  </sheetViews>
  <sheetFormatPr defaultRowHeight="15.5" x14ac:dyDescent="0.35"/>
  <cols>
    <col min="2" max="2" width="37.15234375" customWidth="1"/>
    <col min="5" max="5" width="14.69140625" customWidth="1"/>
    <col min="6" max="6" width="15.23046875" customWidth="1"/>
    <col min="7" max="7" width="18.3828125" customWidth="1"/>
  </cols>
  <sheetData>
    <row r="1" spans="1:7" x14ac:dyDescent="0.35">
      <c r="A1" s="4" t="s">
        <v>12</v>
      </c>
    </row>
    <row r="3" spans="1:7" x14ac:dyDescent="0.35">
      <c r="A3" s="7" t="s">
        <v>7</v>
      </c>
      <c r="B3" s="7" t="s">
        <v>10</v>
      </c>
      <c r="C3" s="7" t="s">
        <v>8</v>
      </c>
      <c r="D3" s="7" t="s">
        <v>9</v>
      </c>
      <c r="E3" s="7" t="s">
        <v>2</v>
      </c>
      <c r="F3" s="7" t="s">
        <v>0</v>
      </c>
      <c r="G3" s="7" t="s">
        <v>4</v>
      </c>
    </row>
    <row r="4" spans="1:7" ht="46.5" x14ac:dyDescent="0.35">
      <c r="A4" t="s">
        <v>35</v>
      </c>
      <c r="B4" s="3" t="s">
        <v>160</v>
      </c>
      <c r="C4" s="11">
        <v>25</v>
      </c>
      <c r="D4" s="11" t="s">
        <v>28</v>
      </c>
      <c r="E4" s="14">
        <v>11.3</v>
      </c>
      <c r="F4" s="14">
        <f>SUM(E4*C4)</f>
        <v>282.5</v>
      </c>
      <c r="G4" s="3"/>
    </row>
    <row r="5" spans="1:7" ht="62" x14ac:dyDescent="0.35">
      <c r="A5" t="s">
        <v>41</v>
      </c>
      <c r="B5" s="3" t="s">
        <v>162</v>
      </c>
      <c r="C5" s="11">
        <v>1</v>
      </c>
      <c r="D5" s="11" t="s">
        <v>27</v>
      </c>
      <c r="E5" s="14">
        <v>19000</v>
      </c>
      <c r="F5" s="14">
        <f>SUM(E5*C5)</f>
        <v>19000</v>
      </c>
    </row>
    <row r="6" spans="1:7" ht="62" x14ac:dyDescent="0.35">
      <c r="A6" t="s">
        <v>197</v>
      </c>
      <c r="B6" s="3" t="s">
        <v>161</v>
      </c>
      <c r="C6" s="11">
        <v>35</v>
      </c>
      <c r="D6" s="11" t="s">
        <v>1</v>
      </c>
      <c r="E6" s="14">
        <v>3450</v>
      </c>
      <c r="F6" s="14">
        <f>SUM(E6*C6)</f>
        <v>120750</v>
      </c>
      <c r="G6" s="3" t="s">
        <v>217</v>
      </c>
    </row>
    <row r="7" spans="1:7" ht="62" x14ac:dyDescent="0.35">
      <c r="A7" t="s">
        <v>198</v>
      </c>
      <c r="B7" s="3" t="s">
        <v>161</v>
      </c>
      <c r="C7" s="11">
        <v>25</v>
      </c>
      <c r="D7" s="11" t="s">
        <v>1</v>
      </c>
      <c r="E7" s="14">
        <v>3450</v>
      </c>
      <c r="F7" s="14">
        <f>SUM(E7*C7)</f>
        <v>86250</v>
      </c>
      <c r="G7" s="3" t="s">
        <v>218</v>
      </c>
    </row>
    <row r="8" spans="1:7" ht="62" x14ac:dyDescent="0.35">
      <c r="A8" t="s">
        <v>199</v>
      </c>
      <c r="B8" s="3" t="s">
        <v>161</v>
      </c>
      <c r="C8" s="11">
        <v>30</v>
      </c>
      <c r="D8" s="11" t="s">
        <v>1</v>
      </c>
      <c r="E8" s="14">
        <v>3450</v>
      </c>
      <c r="F8" s="14">
        <f>SUM(E8*C8)</f>
        <v>103500</v>
      </c>
      <c r="G8" s="3" t="s">
        <v>219</v>
      </c>
    </row>
    <row r="9" spans="1:7" ht="139.5" x14ac:dyDescent="0.35">
      <c r="A9" t="s">
        <v>200</v>
      </c>
      <c r="B9" s="3" t="s">
        <v>225</v>
      </c>
      <c r="C9" s="11">
        <v>35</v>
      </c>
      <c r="D9" s="11" t="s">
        <v>1</v>
      </c>
      <c r="E9" s="14">
        <v>1278</v>
      </c>
      <c r="F9" s="14">
        <f t="shared" ref="F9" si="0">SUM(E9*C9)</f>
        <v>44730</v>
      </c>
      <c r="G9" s="3" t="s">
        <v>217</v>
      </c>
    </row>
    <row r="10" spans="1:7" ht="139.5" x14ac:dyDescent="0.35">
      <c r="A10" t="s">
        <v>201</v>
      </c>
      <c r="B10" s="3" t="s">
        <v>225</v>
      </c>
      <c r="C10" s="11">
        <v>25</v>
      </c>
      <c r="D10" s="11" t="s">
        <v>1</v>
      </c>
      <c r="E10" s="14">
        <v>1278</v>
      </c>
      <c r="F10" s="14">
        <f t="shared" ref="F10" si="1">SUM(E10*C10)</f>
        <v>31950</v>
      </c>
      <c r="G10" s="3" t="s">
        <v>218</v>
      </c>
    </row>
    <row r="11" spans="1:7" ht="139.5" x14ac:dyDescent="0.35">
      <c r="A11" t="s">
        <v>202</v>
      </c>
      <c r="B11" s="3" t="s">
        <v>225</v>
      </c>
      <c r="C11" s="11">
        <v>30</v>
      </c>
      <c r="D11" s="11" t="s">
        <v>1</v>
      </c>
      <c r="E11" s="14">
        <v>1278</v>
      </c>
      <c r="F11" s="14">
        <f t="shared" ref="F11" si="2">SUM(E11*C11)</f>
        <v>38340</v>
      </c>
      <c r="G11" s="3" t="s">
        <v>219</v>
      </c>
    </row>
    <row r="12" spans="1:7" ht="46.5" x14ac:dyDescent="0.35">
      <c r="A12" t="s">
        <v>203</v>
      </c>
      <c r="B12" s="3" t="s">
        <v>29</v>
      </c>
      <c r="C12" s="11">
        <v>220</v>
      </c>
      <c r="D12" s="11" t="s">
        <v>11</v>
      </c>
      <c r="E12" s="14">
        <v>275</v>
      </c>
      <c r="F12" s="14">
        <f t="shared" ref="F12" si="3">SUM(E12*C12)</f>
        <v>60500</v>
      </c>
      <c r="G12" s="3" t="s">
        <v>217</v>
      </c>
    </row>
    <row r="13" spans="1:7" ht="46.5" x14ac:dyDescent="0.35">
      <c r="A13" t="s">
        <v>204</v>
      </c>
      <c r="B13" s="3" t="s">
        <v>29</v>
      </c>
      <c r="C13" s="11">
        <v>180</v>
      </c>
      <c r="D13" s="11" t="s">
        <v>11</v>
      </c>
      <c r="E13" s="14">
        <v>275</v>
      </c>
      <c r="F13" s="14">
        <f t="shared" ref="F13" si="4">SUM(E13*C13)</f>
        <v>49500</v>
      </c>
      <c r="G13" s="3" t="s">
        <v>218</v>
      </c>
    </row>
    <row r="14" spans="1:7" ht="46.5" x14ac:dyDescent="0.35">
      <c r="A14" t="s">
        <v>205</v>
      </c>
      <c r="B14" s="3" t="s">
        <v>29</v>
      </c>
      <c r="C14" s="11">
        <v>350</v>
      </c>
      <c r="D14" s="11" t="s">
        <v>11</v>
      </c>
      <c r="E14" s="14">
        <v>275</v>
      </c>
      <c r="F14" s="14">
        <f t="shared" ref="F14" si="5">SUM(E14*C14)</f>
        <v>96250</v>
      </c>
      <c r="G14" s="3" t="s">
        <v>219</v>
      </c>
    </row>
    <row r="15" spans="1:7" x14ac:dyDescent="0.35">
      <c r="E15" s="2"/>
      <c r="F15" s="2"/>
    </row>
    <row r="16" spans="1:7" x14ac:dyDescent="0.35">
      <c r="B16" s="9" t="s">
        <v>0</v>
      </c>
      <c r="E16" s="2"/>
      <c r="F16" s="10">
        <f>SUM(F4:F14)</f>
        <v>651052.5</v>
      </c>
    </row>
  </sheetData>
  <phoneticPr fontId="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1"/>
  <sheetViews>
    <sheetView topLeftCell="A8" zoomScale="70" zoomScaleNormal="70" workbookViewId="0">
      <selection activeCell="E12" sqref="E12"/>
    </sheetView>
  </sheetViews>
  <sheetFormatPr defaultRowHeight="15.5" x14ac:dyDescent="0.35"/>
  <cols>
    <col min="2" max="2" width="36.3828125" customWidth="1"/>
    <col min="5" max="5" width="12.3046875" style="11" bestFit="1" customWidth="1"/>
    <col min="6" max="6" width="16" style="11" customWidth="1"/>
    <col min="7" max="7" width="27.765625" style="16" customWidth="1"/>
  </cols>
  <sheetData>
    <row r="1" spans="1:11" x14ac:dyDescent="0.35">
      <c r="A1" s="4" t="s">
        <v>26</v>
      </c>
    </row>
    <row r="3" spans="1:11" x14ac:dyDescent="0.35">
      <c r="A3" s="7" t="s">
        <v>7</v>
      </c>
      <c r="B3" s="7" t="s">
        <v>10</v>
      </c>
      <c r="C3" s="7" t="s">
        <v>8</v>
      </c>
      <c r="D3" s="7" t="s">
        <v>9</v>
      </c>
      <c r="E3" s="18" t="s">
        <v>2</v>
      </c>
      <c r="F3" s="18" t="s">
        <v>0</v>
      </c>
      <c r="G3" s="18" t="s">
        <v>4</v>
      </c>
    </row>
    <row r="4" spans="1:11" ht="108.5" x14ac:dyDescent="0.35">
      <c r="A4" t="s">
        <v>35</v>
      </c>
      <c r="B4" s="15" t="s">
        <v>66</v>
      </c>
      <c r="C4" s="11">
        <v>3750</v>
      </c>
      <c r="D4" s="11" t="s">
        <v>3</v>
      </c>
      <c r="E4" s="13">
        <v>425</v>
      </c>
      <c r="F4" s="13">
        <f>SUM(E4*C4)</f>
        <v>1593750</v>
      </c>
      <c r="G4" s="15" t="s">
        <v>195</v>
      </c>
    </row>
    <row r="5" spans="1:11" ht="62" x14ac:dyDescent="0.35">
      <c r="A5" t="s">
        <v>34</v>
      </c>
      <c r="B5" s="15" t="s">
        <v>74</v>
      </c>
      <c r="C5" s="11">
        <v>3750</v>
      </c>
      <c r="D5" s="11" t="s">
        <v>3</v>
      </c>
      <c r="E5" s="13">
        <v>175</v>
      </c>
      <c r="F5" s="13">
        <f>SUM(E5*C5)</f>
        <v>656250</v>
      </c>
      <c r="G5" s="15" t="s">
        <v>196</v>
      </c>
    </row>
    <row r="6" spans="1:11" ht="62" x14ac:dyDescent="0.35">
      <c r="A6" t="s">
        <v>33</v>
      </c>
      <c r="B6" s="15" t="s">
        <v>67</v>
      </c>
      <c r="C6" s="12">
        <v>1900</v>
      </c>
      <c r="D6" s="11" t="s">
        <v>3</v>
      </c>
      <c r="E6" s="13">
        <v>99</v>
      </c>
      <c r="F6" s="13">
        <f>SUM(E6*C6)</f>
        <v>188100</v>
      </c>
      <c r="G6" s="15" t="s">
        <v>174</v>
      </c>
    </row>
    <row r="7" spans="1:11" ht="77.5" x14ac:dyDescent="0.35">
      <c r="A7" t="s">
        <v>36</v>
      </c>
      <c r="B7" s="15" t="s">
        <v>38</v>
      </c>
      <c r="C7" s="12">
        <v>35</v>
      </c>
      <c r="D7" s="11" t="s">
        <v>11</v>
      </c>
      <c r="E7" s="13">
        <v>94</v>
      </c>
      <c r="F7" s="13">
        <f t="shared" ref="F7:F8" si="0">SUM(E7*C7)</f>
        <v>3290</v>
      </c>
      <c r="G7" s="15" t="s">
        <v>175</v>
      </c>
    </row>
    <row r="8" spans="1:11" ht="62" x14ac:dyDescent="0.35">
      <c r="A8" t="s">
        <v>37</v>
      </c>
      <c r="B8" s="15" t="s">
        <v>39</v>
      </c>
      <c r="C8" s="12">
        <v>25</v>
      </c>
      <c r="D8" s="11" t="s">
        <v>11</v>
      </c>
      <c r="E8" s="13">
        <v>57</v>
      </c>
      <c r="F8" s="13">
        <f t="shared" si="0"/>
        <v>1425</v>
      </c>
      <c r="G8" s="15" t="s">
        <v>194</v>
      </c>
    </row>
    <row r="9" spans="1:11" x14ac:dyDescent="0.35">
      <c r="A9" t="s">
        <v>32</v>
      </c>
      <c r="B9" s="16" t="s">
        <v>30</v>
      </c>
      <c r="C9" s="11">
        <v>3</v>
      </c>
      <c r="D9" s="11" t="s">
        <v>1</v>
      </c>
      <c r="E9" s="13">
        <v>18000</v>
      </c>
      <c r="F9" s="13">
        <f t="shared" ref="F9:F10" si="1">SUM(E9*C9)</f>
        <v>54000</v>
      </c>
      <c r="G9" s="15"/>
    </row>
    <row r="10" spans="1:11" ht="46.5" x14ac:dyDescent="0.35">
      <c r="A10" t="s">
        <v>31</v>
      </c>
      <c r="B10" s="15" t="s">
        <v>176</v>
      </c>
      <c r="C10" s="11">
        <v>2950</v>
      </c>
      <c r="D10" s="11" t="s">
        <v>3</v>
      </c>
      <c r="E10" s="13">
        <v>1025</v>
      </c>
      <c r="F10" s="13">
        <f t="shared" si="1"/>
        <v>3023750</v>
      </c>
      <c r="G10" s="15" t="s">
        <v>226</v>
      </c>
    </row>
    <row r="11" spans="1:11" ht="93" x14ac:dyDescent="0.35">
      <c r="A11" t="s">
        <v>68</v>
      </c>
      <c r="B11" s="15" t="s">
        <v>231</v>
      </c>
      <c r="C11" s="11">
        <v>200</v>
      </c>
      <c r="D11" s="11" t="s">
        <v>3</v>
      </c>
      <c r="E11" s="13">
        <v>590</v>
      </c>
      <c r="F11" s="13">
        <f>SUM(E11*C11)</f>
        <v>118000</v>
      </c>
      <c r="G11" s="15" t="s">
        <v>193</v>
      </c>
    </row>
    <row r="12" spans="1:11" ht="139.5" x14ac:dyDescent="0.35">
      <c r="A12" t="s">
        <v>69</v>
      </c>
      <c r="B12" s="15" t="s">
        <v>230</v>
      </c>
      <c r="C12" s="11">
        <v>250</v>
      </c>
      <c r="D12" s="11" t="s">
        <v>3</v>
      </c>
      <c r="E12" s="13">
        <v>650</v>
      </c>
      <c r="F12" s="13">
        <f>SUM(E12*C12)</f>
        <v>162500</v>
      </c>
      <c r="G12" s="15" t="s">
        <v>191</v>
      </c>
    </row>
    <row r="13" spans="1:11" ht="186" x14ac:dyDescent="0.35">
      <c r="A13" t="s">
        <v>169</v>
      </c>
      <c r="B13" s="15" t="s">
        <v>206</v>
      </c>
      <c r="C13" s="11">
        <v>4</v>
      </c>
      <c r="D13" s="11" t="s">
        <v>1</v>
      </c>
      <c r="E13" s="13">
        <v>2163.5</v>
      </c>
      <c r="F13" s="13">
        <f>SUM(E13*C13)</f>
        <v>8654</v>
      </c>
      <c r="G13" s="3" t="s">
        <v>192</v>
      </c>
      <c r="K13" s="3"/>
    </row>
    <row r="14" spans="1:11" ht="31" x14ac:dyDescent="0.35">
      <c r="A14" t="s">
        <v>70</v>
      </c>
      <c r="B14" s="15" t="s">
        <v>172</v>
      </c>
      <c r="C14" s="11">
        <v>7</v>
      </c>
      <c r="D14" s="11" t="s">
        <v>1</v>
      </c>
      <c r="E14" s="13">
        <v>2650</v>
      </c>
      <c r="F14" s="13">
        <f t="shared" ref="F14" si="2">SUM(E14*C14)</f>
        <v>18550</v>
      </c>
      <c r="G14" s="15"/>
    </row>
    <row r="15" spans="1:11" ht="310" x14ac:dyDescent="0.35">
      <c r="A15" t="s">
        <v>71</v>
      </c>
      <c r="B15" s="15" t="s">
        <v>173</v>
      </c>
      <c r="C15" s="11">
        <v>2</v>
      </c>
      <c r="D15" s="11" t="s">
        <v>1</v>
      </c>
      <c r="E15" s="13">
        <v>60667</v>
      </c>
      <c r="F15" s="13">
        <f t="shared" ref="F15" si="3">SUM(E15*C15)</f>
        <v>121334</v>
      </c>
      <c r="G15" s="15"/>
    </row>
    <row r="16" spans="1:11" x14ac:dyDescent="0.35">
      <c r="A16" t="s">
        <v>210</v>
      </c>
      <c r="B16" s="16" t="s">
        <v>209</v>
      </c>
      <c r="C16" s="11">
        <v>875</v>
      </c>
      <c r="D16" s="11" t="s">
        <v>3</v>
      </c>
      <c r="E16" s="13">
        <v>100</v>
      </c>
      <c r="F16" s="13">
        <f>SUM(E16*C16)</f>
        <v>87500</v>
      </c>
      <c r="G16" s="15" t="s">
        <v>208</v>
      </c>
      <c r="I16" s="3"/>
    </row>
    <row r="17" spans="1:7" ht="99.5" customHeight="1" x14ac:dyDescent="0.35">
      <c r="A17" t="s">
        <v>73</v>
      </c>
      <c r="B17" s="15" t="s">
        <v>177</v>
      </c>
      <c r="C17" s="11">
        <v>29</v>
      </c>
      <c r="D17" s="11" t="s">
        <v>1</v>
      </c>
      <c r="E17" s="13">
        <v>1175</v>
      </c>
      <c r="F17" s="13">
        <f>SUM(E17*C17)</f>
        <v>34075</v>
      </c>
      <c r="G17" s="15"/>
    </row>
    <row r="18" spans="1:7" ht="93" x14ac:dyDescent="0.35">
      <c r="A18" t="s">
        <v>72</v>
      </c>
      <c r="B18" s="15" t="s">
        <v>178</v>
      </c>
      <c r="C18" s="11">
        <v>11</v>
      </c>
      <c r="D18" s="11" t="s">
        <v>1</v>
      </c>
      <c r="E18" s="13">
        <v>2250</v>
      </c>
      <c r="F18" s="13">
        <f t="shared" ref="F18" si="4">SUM(E18*C18)</f>
        <v>24750</v>
      </c>
      <c r="G18" s="15"/>
    </row>
    <row r="19" spans="1:7" x14ac:dyDescent="0.35">
      <c r="A19" t="s">
        <v>170</v>
      </c>
      <c r="B19" s="16" t="s">
        <v>171</v>
      </c>
      <c r="C19" s="11">
        <v>21</v>
      </c>
      <c r="D19" s="11" t="s">
        <v>1</v>
      </c>
      <c r="E19" s="13">
        <v>350</v>
      </c>
      <c r="F19" s="13">
        <f t="shared" ref="F19" si="5">SUM(E19*C19)</f>
        <v>7350</v>
      </c>
      <c r="G19" s="15" t="s">
        <v>211</v>
      </c>
    </row>
    <row r="21" spans="1:7" x14ac:dyDescent="0.35">
      <c r="E21" s="18" t="s">
        <v>0</v>
      </c>
      <c r="F21" s="37">
        <f>SUM(F4:F20)</f>
        <v>6103278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6"/>
  <sheetViews>
    <sheetView workbookViewId="0">
      <selection activeCell="E9" sqref="E9"/>
    </sheetView>
  </sheetViews>
  <sheetFormatPr defaultRowHeight="15.5" x14ac:dyDescent="0.35"/>
  <cols>
    <col min="2" max="2" width="32.61328125" style="11" customWidth="1"/>
    <col min="6" max="6" width="12.15234375" bestFit="1" customWidth="1"/>
    <col min="7" max="7" width="37" customWidth="1"/>
  </cols>
  <sheetData>
    <row r="1" spans="1:7" x14ac:dyDescent="0.35">
      <c r="A1" s="4" t="s">
        <v>25</v>
      </c>
    </row>
    <row r="3" spans="1:7" x14ac:dyDescent="0.35">
      <c r="A3" s="7" t="s">
        <v>7</v>
      </c>
      <c r="B3" s="18" t="s">
        <v>10</v>
      </c>
      <c r="C3" s="7" t="s">
        <v>8</v>
      </c>
      <c r="D3" s="7" t="s">
        <v>9</v>
      </c>
      <c r="E3" s="7" t="s">
        <v>2</v>
      </c>
      <c r="F3" s="7" t="s">
        <v>0</v>
      </c>
      <c r="G3" s="7" t="s">
        <v>4</v>
      </c>
    </row>
    <row r="4" spans="1:7" ht="31" x14ac:dyDescent="0.35">
      <c r="A4" t="s">
        <v>147</v>
      </c>
      <c r="B4" s="11" t="s">
        <v>166</v>
      </c>
      <c r="C4" s="11">
        <v>2950</v>
      </c>
      <c r="D4" s="11" t="s">
        <v>3</v>
      </c>
      <c r="E4" s="13">
        <v>45</v>
      </c>
      <c r="F4" s="13">
        <f t="shared" ref="F4:F8" si="0">SUM(E4*C4)</f>
        <v>132750</v>
      </c>
      <c r="G4" s="3" t="s">
        <v>180</v>
      </c>
    </row>
    <row r="5" spans="1:7" ht="31" x14ac:dyDescent="0.35">
      <c r="A5" t="s">
        <v>164</v>
      </c>
      <c r="B5" s="12" t="s">
        <v>165</v>
      </c>
      <c r="C5" s="11">
        <v>1600</v>
      </c>
      <c r="D5" s="11" t="s">
        <v>3</v>
      </c>
      <c r="E5" s="13">
        <v>275</v>
      </c>
      <c r="F5" s="13">
        <f t="shared" ref="F5" si="1">SUM(E5*C5)</f>
        <v>440000</v>
      </c>
      <c r="G5" s="3"/>
    </row>
    <row r="6" spans="1:7" ht="68" customHeight="1" x14ac:dyDescent="0.35">
      <c r="A6" t="s">
        <v>213</v>
      </c>
      <c r="B6" s="11" t="s">
        <v>214</v>
      </c>
      <c r="C6" s="11">
        <v>1944</v>
      </c>
      <c r="D6" s="11" t="s">
        <v>3</v>
      </c>
      <c r="E6" s="13">
        <v>35</v>
      </c>
      <c r="F6" s="13">
        <f t="shared" si="0"/>
        <v>68040</v>
      </c>
      <c r="G6" s="15" t="s">
        <v>163</v>
      </c>
    </row>
    <row r="7" spans="1:7" ht="68" customHeight="1" x14ac:dyDescent="0.35">
      <c r="A7" t="s">
        <v>212</v>
      </c>
      <c r="B7" s="12" t="s">
        <v>216</v>
      </c>
      <c r="C7" s="11">
        <v>1056</v>
      </c>
      <c r="D7" s="11" t="s">
        <v>3</v>
      </c>
      <c r="E7" s="13">
        <v>75</v>
      </c>
      <c r="F7" s="13">
        <f t="shared" ref="F7" si="2">SUM(E7*C7)</f>
        <v>79200</v>
      </c>
      <c r="G7" s="15"/>
    </row>
    <row r="8" spans="1:7" ht="62" x14ac:dyDescent="0.35">
      <c r="A8" t="s">
        <v>148</v>
      </c>
      <c r="B8" s="11" t="s">
        <v>159</v>
      </c>
      <c r="C8" s="11">
        <v>3000</v>
      </c>
      <c r="D8" s="11" t="s">
        <v>3</v>
      </c>
      <c r="E8" s="13">
        <v>22.48</v>
      </c>
      <c r="F8" s="13">
        <f t="shared" si="0"/>
        <v>67440</v>
      </c>
      <c r="G8" s="3" t="s">
        <v>179</v>
      </c>
    </row>
    <row r="10" spans="1:7" x14ac:dyDescent="0.35">
      <c r="E10" s="4" t="s">
        <v>0</v>
      </c>
      <c r="F10" s="10">
        <f>SUM(F4:F9)</f>
        <v>787430</v>
      </c>
    </row>
    <row r="13" spans="1:7" x14ac:dyDescent="0.35">
      <c r="B13" s="12"/>
    </row>
    <row r="15" spans="1:7" x14ac:dyDescent="0.35">
      <c r="B15" s="18"/>
    </row>
    <row r="16" spans="1:7" x14ac:dyDescent="0.35">
      <c r="B16" s="12"/>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6"/>
  <sheetViews>
    <sheetView workbookViewId="0">
      <selection activeCell="G5" sqref="G5"/>
    </sheetView>
  </sheetViews>
  <sheetFormatPr defaultRowHeight="15.5" x14ac:dyDescent="0.35"/>
  <cols>
    <col min="2" max="2" width="22.4609375" customWidth="1"/>
    <col min="5" max="5" width="12.15234375" bestFit="1" customWidth="1"/>
    <col min="6" max="6" width="14.765625" bestFit="1" customWidth="1"/>
    <col min="7" max="7" width="37" customWidth="1"/>
  </cols>
  <sheetData>
    <row r="1" spans="1:7" x14ac:dyDescent="0.35">
      <c r="A1" s="4" t="s">
        <v>13</v>
      </c>
    </row>
    <row r="3" spans="1:7" x14ac:dyDescent="0.35">
      <c r="A3" s="7" t="s">
        <v>7</v>
      </c>
      <c r="B3" s="7" t="s">
        <v>10</v>
      </c>
      <c r="C3" s="7" t="s">
        <v>8</v>
      </c>
      <c r="D3" s="7" t="s">
        <v>9</v>
      </c>
      <c r="E3" s="7" t="s">
        <v>2</v>
      </c>
      <c r="F3" s="7" t="s">
        <v>0</v>
      </c>
      <c r="G3" s="7" t="s">
        <v>4</v>
      </c>
    </row>
    <row r="4" spans="1:7" ht="46" customHeight="1" x14ac:dyDescent="0.35">
      <c r="A4" s="11" t="s">
        <v>228</v>
      </c>
      <c r="B4" s="3" t="s">
        <v>149</v>
      </c>
      <c r="C4" s="11">
        <v>1</v>
      </c>
      <c r="D4" s="11" t="s">
        <v>27</v>
      </c>
      <c r="E4" s="13">
        <v>150000</v>
      </c>
      <c r="F4" s="13">
        <f>SUM(E4*C4)</f>
        <v>150000</v>
      </c>
      <c r="G4" s="12" t="s">
        <v>185</v>
      </c>
    </row>
    <row r="5" spans="1:7" ht="31" x14ac:dyDescent="0.35">
      <c r="A5" t="s">
        <v>227</v>
      </c>
      <c r="B5" t="s">
        <v>150</v>
      </c>
      <c r="C5" s="16">
        <v>435</v>
      </c>
      <c r="D5" s="24" t="s">
        <v>1</v>
      </c>
      <c r="E5" s="17">
        <v>550</v>
      </c>
      <c r="F5" s="13">
        <f>SUM(E5*C5)</f>
        <v>239250</v>
      </c>
      <c r="G5" s="3" t="s">
        <v>186</v>
      </c>
    </row>
    <row r="6" spans="1:7" x14ac:dyDescent="0.35">
      <c r="C6" s="3"/>
      <c r="D6" s="6"/>
      <c r="E6" s="10" t="s">
        <v>0</v>
      </c>
      <c r="F6" s="10">
        <f>SUM(F4:F5)</f>
        <v>389250</v>
      </c>
      <c r="G6" s="3"/>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3"/>
  <sheetViews>
    <sheetView topLeftCell="A7" workbookViewId="0">
      <selection activeCell="E4" sqref="E4"/>
    </sheetView>
  </sheetViews>
  <sheetFormatPr defaultRowHeight="15.5" x14ac:dyDescent="0.35"/>
  <cols>
    <col min="2" max="2" width="39.84375" style="16" bestFit="1" customWidth="1"/>
    <col min="4" max="4" width="10.23046875" customWidth="1"/>
    <col min="5" max="5" width="12.15234375" bestFit="1" customWidth="1"/>
    <col min="6" max="6" width="14.69140625" customWidth="1"/>
    <col min="7" max="7" width="36.53515625" customWidth="1"/>
  </cols>
  <sheetData>
    <row r="1" spans="1:7" x14ac:dyDescent="0.35">
      <c r="A1" s="4" t="s">
        <v>14</v>
      </c>
    </row>
    <row r="3" spans="1:7" x14ac:dyDescent="0.35">
      <c r="A3" s="7" t="s">
        <v>7</v>
      </c>
      <c r="B3" s="18" t="s">
        <v>10</v>
      </c>
      <c r="C3" s="7" t="s">
        <v>8</v>
      </c>
      <c r="D3" s="7" t="s">
        <v>9</v>
      </c>
      <c r="E3" s="7" t="s">
        <v>2</v>
      </c>
      <c r="F3" s="7" t="s">
        <v>0</v>
      </c>
      <c r="G3" s="7" t="s">
        <v>4</v>
      </c>
    </row>
    <row r="4" spans="1:7" x14ac:dyDescent="0.35">
      <c r="A4" t="s">
        <v>43</v>
      </c>
      <c r="B4" s="16" t="s">
        <v>15</v>
      </c>
      <c r="C4" s="11">
        <v>3000</v>
      </c>
      <c r="D4" s="11" t="s">
        <v>3</v>
      </c>
      <c r="E4" s="17">
        <v>57</v>
      </c>
      <c r="F4" s="17">
        <f>SUM(E4*C4)</f>
        <v>171000</v>
      </c>
      <c r="G4" t="s">
        <v>190</v>
      </c>
    </row>
    <row r="5" spans="1:7" x14ac:dyDescent="0.35">
      <c r="A5" t="s">
        <v>44</v>
      </c>
      <c r="B5" s="16" t="s">
        <v>16</v>
      </c>
      <c r="C5" s="11">
        <v>3000</v>
      </c>
      <c r="D5" s="11" t="s">
        <v>3</v>
      </c>
      <c r="E5" s="17">
        <v>67</v>
      </c>
      <c r="F5" s="17">
        <f t="shared" ref="F5:F11" si="0">SUM(E5*C5)</f>
        <v>201000</v>
      </c>
      <c r="G5" t="s">
        <v>190</v>
      </c>
    </row>
    <row r="6" spans="1:7" x14ac:dyDescent="0.35">
      <c r="A6" t="s">
        <v>151</v>
      </c>
      <c r="B6" s="16" t="s">
        <v>157</v>
      </c>
      <c r="C6" s="11">
        <v>3000</v>
      </c>
      <c r="D6" s="11" t="s">
        <v>3</v>
      </c>
      <c r="E6" s="17">
        <v>63</v>
      </c>
      <c r="F6" s="17">
        <f t="shared" si="0"/>
        <v>189000</v>
      </c>
      <c r="G6" t="s">
        <v>190</v>
      </c>
    </row>
    <row r="7" spans="1:7" x14ac:dyDescent="0.35">
      <c r="A7" t="s">
        <v>152</v>
      </c>
      <c r="B7" s="16" t="s">
        <v>156</v>
      </c>
      <c r="C7" s="11">
        <v>3000</v>
      </c>
      <c r="D7" s="11" t="s">
        <v>3</v>
      </c>
      <c r="E7" s="17">
        <v>28</v>
      </c>
      <c r="F7" s="17">
        <f t="shared" ref="F7" si="1">SUM(E7*C7)</f>
        <v>84000</v>
      </c>
      <c r="G7" t="s">
        <v>190</v>
      </c>
    </row>
    <row r="8" spans="1:7" ht="31" x14ac:dyDescent="0.35">
      <c r="A8" t="s">
        <v>45</v>
      </c>
      <c r="B8" s="16" t="s">
        <v>155</v>
      </c>
      <c r="C8" s="11">
        <v>3000</v>
      </c>
      <c r="D8" s="11" t="s">
        <v>3</v>
      </c>
      <c r="E8" s="17">
        <v>4.4000000000000004</v>
      </c>
      <c r="F8" s="17">
        <f t="shared" si="0"/>
        <v>13200.000000000002</v>
      </c>
      <c r="G8" s="3" t="s">
        <v>189</v>
      </c>
    </row>
    <row r="9" spans="1:7" ht="46.5" x14ac:dyDescent="0.35">
      <c r="A9" t="s">
        <v>46</v>
      </c>
      <c r="B9" s="16" t="s">
        <v>17</v>
      </c>
      <c r="C9" s="11">
        <v>2</v>
      </c>
      <c r="D9" s="11" t="s">
        <v>1</v>
      </c>
      <c r="E9" s="17">
        <v>140000</v>
      </c>
      <c r="F9" s="17">
        <f t="shared" si="0"/>
        <v>280000</v>
      </c>
      <c r="G9" s="3" t="s">
        <v>187</v>
      </c>
    </row>
    <row r="10" spans="1:7" ht="62" x14ac:dyDescent="0.35">
      <c r="A10" t="s">
        <v>158</v>
      </c>
      <c r="B10" s="16" t="s">
        <v>154</v>
      </c>
      <c r="C10" s="11">
        <v>3000</v>
      </c>
      <c r="D10" s="11" t="s">
        <v>3</v>
      </c>
      <c r="E10" s="17">
        <v>56</v>
      </c>
      <c r="F10" s="17">
        <f t="shared" si="0"/>
        <v>168000</v>
      </c>
      <c r="G10" s="3" t="s">
        <v>188</v>
      </c>
    </row>
    <row r="11" spans="1:7" ht="62" x14ac:dyDescent="0.35">
      <c r="A11" t="s">
        <v>47</v>
      </c>
      <c r="B11" s="15" t="s">
        <v>153</v>
      </c>
      <c r="C11" s="11">
        <v>3000</v>
      </c>
      <c r="D11" s="11" t="s">
        <v>3</v>
      </c>
      <c r="E11" s="17">
        <v>145</v>
      </c>
      <c r="F11" s="17">
        <f t="shared" si="0"/>
        <v>435000</v>
      </c>
      <c r="G11" s="3" t="s">
        <v>188</v>
      </c>
    </row>
    <row r="12" spans="1:7" x14ac:dyDescent="0.35">
      <c r="C12" s="11"/>
      <c r="D12" s="1"/>
      <c r="E12" s="2"/>
      <c r="F12" s="2"/>
    </row>
    <row r="13" spans="1:7" x14ac:dyDescent="0.35">
      <c r="E13" s="19" t="s">
        <v>0</v>
      </c>
      <c r="F13" s="10">
        <f>SUM(F4:F12)</f>
        <v>1541200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G6"/>
  <sheetViews>
    <sheetView topLeftCell="M1" workbookViewId="0">
      <selection activeCell="B4" sqref="B4"/>
    </sheetView>
  </sheetViews>
  <sheetFormatPr defaultRowHeight="15.5" x14ac:dyDescent="0.35"/>
  <cols>
    <col min="2" max="2" width="40" customWidth="1"/>
  </cols>
  <sheetData>
    <row r="1" spans="1:7" x14ac:dyDescent="0.35">
      <c r="A1" s="4" t="s">
        <v>24</v>
      </c>
    </row>
    <row r="3" spans="1:7" x14ac:dyDescent="0.35">
      <c r="A3" s="7" t="s">
        <v>7</v>
      </c>
      <c r="B3" s="7" t="s">
        <v>10</v>
      </c>
      <c r="C3" s="7" t="s">
        <v>8</v>
      </c>
      <c r="D3" s="7" t="s">
        <v>9</v>
      </c>
      <c r="E3" s="7" t="s">
        <v>2</v>
      </c>
      <c r="F3" s="7" t="s">
        <v>0</v>
      </c>
      <c r="G3" s="7" t="s">
        <v>4</v>
      </c>
    </row>
    <row r="4" spans="1:7" x14ac:dyDescent="0.35">
      <c r="A4" t="s">
        <v>48</v>
      </c>
      <c r="B4" t="s">
        <v>18</v>
      </c>
      <c r="C4" s="11"/>
      <c r="D4" s="11" t="s">
        <v>3</v>
      </c>
      <c r="E4" s="2">
        <v>0</v>
      </c>
      <c r="F4" s="2">
        <f>SUM(E4*C4)</f>
        <v>0</v>
      </c>
      <c r="G4" t="s">
        <v>75</v>
      </c>
    </row>
    <row r="5" spans="1:7" x14ac:dyDescent="0.35">
      <c r="D5" s="6"/>
      <c r="E5" s="2"/>
      <c r="F5" s="2"/>
    </row>
    <row r="6" spans="1:7" x14ac:dyDescent="0.35">
      <c r="C6" s="3"/>
      <c r="D6" s="6"/>
      <c r="E6" s="10" t="s">
        <v>0</v>
      </c>
      <c r="F6" s="10">
        <f>SUM(F4:F5)</f>
        <v>0</v>
      </c>
      <c r="G6" s="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G6"/>
  <sheetViews>
    <sheetView workbookViewId="0">
      <selection activeCell="B16" sqref="B16"/>
    </sheetView>
  </sheetViews>
  <sheetFormatPr defaultRowHeight="15.5" x14ac:dyDescent="0.35"/>
  <cols>
    <col min="2" max="2" width="42.69140625" customWidth="1"/>
    <col min="3" max="3" width="8.3046875" bestFit="1" customWidth="1"/>
  </cols>
  <sheetData>
    <row r="1" spans="1:7" x14ac:dyDescent="0.35">
      <c r="A1" s="4" t="s">
        <v>23</v>
      </c>
    </row>
    <row r="3" spans="1:7" x14ac:dyDescent="0.35">
      <c r="A3" s="7" t="s">
        <v>7</v>
      </c>
      <c r="B3" s="7" t="s">
        <v>10</v>
      </c>
      <c r="C3" s="7" t="s">
        <v>8</v>
      </c>
      <c r="D3" s="7" t="s">
        <v>9</v>
      </c>
      <c r="E3" s="7" t="s">
        <v>2</v>
      </c>
      <c r="F3" s="7" t="s">
        <v>0</v>
      </c>
      <c r="G3" s="7" t="s">
        <v>4</v>
      </c>
    </row>
    <row r="4" spans="1:7" x14ac:dyDescent="0.35">
      <c r="A4" s="1" t="s">
        <v>49</v>
      </c>
      <c r="B4" t="s">
        <v>19</v>
      </c>
      <c r="C4" s="11"/>
      <c r="D4" s="11" t="s">
        <v>3</v>
      </c>
      <c r="E4" s="2">
        <v>0</v>
      </c>
      <c r="F4" s="2">
        <f>SUM(E4*C4)</f>
        <v>0</v>
      </c>
      <c r="G4" t="s">
        <v>75</v>
      </c>
    </row>
    <row r="6" spans="1:7" x14ac:dyDescent="0.35">
      <c r="E6" s="4" t="s">
        <v>0</v>
      </c>
      <c r="F6" s="10">
        <f>SUM(F4:F5)</f>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0"/>
  <sheetViews>
    <sheetView workbookViewId="0">
      <selection activeCell="B4" sqref="B4"/>
    </sheetView>
  </sheetViews>
  <sheetFormatPr defaultRowHeight="15.5" x14ac:dyDescent="0.35"/>
  <cols>
    <col min="2" max="2" width="42.23046875" customWidth="1"/>
    <col min="5" max="5" width="12.15234375" bestFit="1" customWidth="1"/>
    <col min="6" max="6" width="13.765625" customWidth="1"/>
    <col min="7" max="7" width="18.3046875" customWidth="1"/>
  </cols>
  <sheetData>
    <row r="1" spans="1:7" x14ac:dyDescent="0.35">
      <c r="A1" s="4" t="s">
        <v>22</v>
      </c>
    </row>
    <row r="3" spans="1:7" x14ac:dyDescent="0.35">
      <c r="A3" s="7" t="s">
        <v>7</v>
      </c>
      <c r="B3" s="7" t="s">
        <v>10</v>
      </c>
      <c r="C3" s="7" t="s">
        <v>8</v>
      </c>
      <c r="D3" s="7" t="s">
        <v>9</v>
      </c>
      <c r="E3" s="7" t="s">
        <v>2</v>
      </c>
      <c r="F3" s="7" t="s">
        <v>0</v>
      </c>
      <c r="G3" s="7" t="s">
        <v>4</v>
      </c>
    </row>
    <row r="4" spans="1:7" ht="108.5" x14ac:dyDescent="0.35">
      <c r="A4" t="s">
        <v>50</v>
      </c>
      <c r="B4" s="15" t="s">
        <v>207</v>
      </c>
      <c r="C4" s="11">
        <v>1600</v>
      </c>
      <c r="D4" s="11" t="s">
        <v>3</v>
      </c>
      <c r="E4" s="17">
        <v>73</v>
      </c>
      <c r="F4" s="17">
        <f>SUM(E4*C4)</f>
        <v>116800</v>
      </c>
      <c r="G4" s="16"/>
    </row>
    <row r="5" spans="1:7" ht="31" x14ac:dyDescent="0.35">
      <c r="A5" t="s">
        <v>51</v>
      </c>
      <c r="B5" s="15" t="s">
        <v>181</v>
      </c>
      <c r="C5" s="11">
        <v>475</v>
      </c>
      <c r="D5" s="11" t="s">
        <v>11</v>
      </c>
      <c r="E5" s="17">
        <v>157.5</v>
      </c>
      <c r="F5" s="17">
        <f t="shared" ref="F5:F8" si="0">SUM(E5*C5)</f>
        <v>74812.5</v>
      </c>
      <c r="G5" s="15"/>
    </row>
    <row r="6" spans="1:7" x14ac:dyDescent="0.35">
      <c r="A6" t="s">
        <v>52</v>
      </c>
      <c r="B6" s="16" t="s">
        <v>20</v>
      </c>
      <c r="C6" s="11">
        <v>1600</v>
      </c>
      <c r="D6" s="11" t="s">
        <v>3</v>
      </c>
      <c r="E6" s="17">
        <v>108</v>
      </c>
      <c r="F6" s="17">
        <f t="shared" si="0"/>
        <v>172800</v>
      </c>
      <c r="G6" s="16" t="s">
        <v>184</v>
      </c>
    </row>
    <row r="7" spans="1:7" ht="77.5" x14ac:dyDescent="0.35">
      <c r="A7" t="s">
        <v>53</v>
      </c>
      <c r="B7" s="16" t="s">
        <v>21</v>
      </c>
      <c r="C7" s="11">
        <v>1</v>
      </c>
      <c r="D7" s="11" t="s">
        <v>1</v>
      </c>
      <c r="E7" s="17">
        <v>100000</v>
      </c>
      <c r="F7" s="17">
        <f t="shared" si="0"/>
        <v>100000</v>
      </c>
      <c r="G7" s="15" t="s">
        <v>183</v>
      </c>
    </row>
    <row r="8" spans="1:7" ht="31" x14ac:dyDescent="0.35">
      <c r="A8" t="s">
        <v>215</v>
      </c>
      <c r="B8" s="15" t="s">
        <v>182</v>
      </c>
      <c r="C8" s="11">
        <v>10</v>
      </c>
      <c r="D8" s="11" t="s">
        <v>1</v>
      </c>
      <c r="E8" s="16">
        <v>846.77</v>
      </c>
      <c r="F8" s="17">
        <f t="shared" si="0"/>
        <v>8467.7000000000007</v>
      </c>
      <c r="G8" s="16" t="s">
        <v>185</v>
      </c>
    </row>
    <row r="9" spans="1:7" x14ac:dyDescent="0.35">
      <c r="A9" s="38" t="s">
        <v>221</v>
      </c>
      <c r="B9" s="38" t="s">
        <v>92</v>
      </c>
      <c r="C9" s="11">
        <v>783</v>
      </c>
      <c r="D9" s="13" t="s">
        <v>3</v>
      </c>
      <c r="E9" s="13">
        <v>125</v>
      </c>
      <c r="F9" s="17">
        <f>SUM(E9*C9)</f>
        <v>97875</v>
      </c>
    </row>
    <row r="10" spans="1:7" x14ac:dyDescent="0.35">
      <c r="E10" s="18" t="s">
        <v>0</v>
      </c>
      <c r="F10" s="21">
        <f>SUM(F4:F8)</f>
        <v>472880.2</v>
      </c>
      <c r="G10" s="16"/>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6"/>
  <sheetViews>
    <sheetView workbookViewId="0">
      <selection activeCell="D7" sqref="D7"/>
    </sheetView>
  </sheetViews>
  <sheetFormatPr defaultRowHeight="15.5" x14ac:dyDescent="0.35"/>
  <cols>
    <col min="2" max="2" width="27.3828125" customWidth="1"/>
    <col min="5" max="5" width="15.765625" bestFit="1" customWidth="1"/>
  </cols>
  <sheetData>
    <row r="1" spans="1:6" x14ac:dyDescent="0.35">
      <c r="A1" s="4" t="s">
        <v>58</v>
      </c>
    </row>
    <row r="3" spans="1:6" x14ac:dyDescent="0.35">
      <c r="A3" s="7" t="s">
        <v>7</v>
      </c>
      <c r="B3" s="7" t="s">
        <v>10</v>
      </c>
      <c r="C3" s="7" t="s">
        <v>8</v>
      </c>
      <c r="D3" s="7" t="s">
        <v>9</v>
      </c>
      <c r="E3" s="7" t="s">
        <v>0</v>
      </c>
      <c r="F3" s="7" t="s">
        <v>4</v>
      </c>
    </row>
    <row r="4" spans="1:6" x14ac:dyDescent="0.35">
      <c r="A4" t="s">
        <v>60</v>
      </c>
      <c r="B4" t="s">
        <v>56</v>
      </c>
      <c r="C4">
        <v>10</v>
      </c>
      <c r="D4" s="1" t="s">
        <v>55</v>
      </c>
      <c r="E4" s="2" cm="1">
        <f t="array" ref="E4">SUM(('Summary Sheet'!D3:D11)*C4%)</f>
        <v>1072509.07</v>
      </c>
    </row>
    <row r="5" spans="1:6" x14ac:dyDescent="0.35">
      <c r="D5" s="6"/>
      <c r="E5" s="2"/>
    </row>
    <row r="6" spans="1:6" x14ac:dyDescent="0.35">
      <c r="C6" s="3"/>
      <c r="D6" s="6"/>
      <c r="E6" s="2"/>
      <c r="F6" s="3"/>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20"/>
  <sheetViews>
    <sheetView workbookViewId="0">
      <selection activeCell="C5" sqref="C5"/>
    </sheetView>
  </sheetViews>
  <sheetFormatPr defaultRowHeight="15.5" x14ac:dyDescent="0.35"/>
  <cols>
    <col min="2" max="2" width="27.61328125" customWidth="1"/>
    <col min="5" max="5" width="14.765625" bestFit="1" customWidth="1"/>
  </cols>
  <sheetData>
    <row r="1" spans="1:6" x14ac:dyDescent="0.35">
      <c r="A1" s="4" t="s">
        <v>54</v>
      </c>
    </row>
    <row r="3" spans="1:6" x14ac:dyDescent="0.35">
      <c r="A3" s="7" t="s">
        <v>7</v>
      </c>
      <c r="B3" s="7" t="s">
        <v>10</v>
      </c>
      <c r="C3" s="7" t="s">
        <v>8</v>
      </c>
      <c r="D3" s="7" t="s">
        <v>9</v>
      </c>
      <c r="E3" s="7" t="s">
        <v>0</v>
      </c>
      <c r="F3" s="7" t="s">
        <v>4</v>
      </c>
    </row>
    <row r="4" spans="1:6" x14ac:dyDescent="0.35">
      <c r="A4" t="s">
        <v>59</v>
      </c>
      <c r="B4" t="s">
        <v>57</v>
      </c>
      <c r="C4">
        <v>10</v>
      </c>
      <c r="D4" s="1" t="s">
        <v>55</v>
      </c>
      <c r="E4" s="2" cm="1">
        <f t="array" ref="E4">SUM(('Summary Sheet'!D3:D12)*C4%)</f>
        <v>1179759.977</v>
      </c>
    </row>
    <row r="5" spans="1:6" x14ac:dyDescent="0.35">
      <c r="D5" s="6"/>
      <c r="E5" s="2"/>
    </row>
    <row r="6" spans="1:6" x14ac:dyDescent="0.35">
      <c r="C6" s="3"/>
      <c r="D6" s="6"/>
      <c r="E6" s="2"/>
      <c r="F6" s="3"/>
    </row>
    <row r="20" ht="13" customHeight="1" x14ac:dyDescent="0.3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workbookViewId="0">
      <selection activeCell="C4" sqref="C4"/>
    </sheetView>
  </sheetViews>
  <sheetFormatPr defaultRowHeight="15.5" x14ac:dyDescent="0.35"/>
  <cols>
    <col min="2" max="2" width="25.53515625" customWidth="1"/>
    <col min="5" max="5" width="13.765625" bestFit="1" customWidth="1"/>
  </cols>
  <sheetData>
    <row r="1" spans="1:6" x14ac:dyDescent="0.35">
      <c r="A1" s="4" t="s">
        <v>61</v>
      </c>
    </row>
    <row r="3" spans="1:6" x14ac:dyDescent="0.35">
      <c r="A3" s="7" t="s">
        <v>7</v>
      </c>
      <c r="B3" s="7" t="s">
        <v>10</v>
      </c>
      <c r="C3" s="7" t="s">
        <v>8</v>
      </c>
      <c r="D3" s="7" t="s">
        <v>9</v>
      </c>
      <c r="E3" s="7" t="s">
        <v>0</v>
      </c>
      <c r="F3" s="7" t="s">
        <v>4</v>
      </c>
    </row>
    <row r="4" spans="1:6" x14ac:dyDescent="0.35">
      <c r="A4" t="s">
        <v>62</v>
      </c>
      <c r="B4" t="s">
        <v>63</v>
      </c>
      <c r="C4">
        <v>5</v>
      </c>
      <c r="D4" s="1" t="s">
        <v>55</v>
      </c>
      <c r="E4" s="2" cm="1">
        <f t="array" ref="E4">SUM(('Summary Sheet'!D3:D12)*C4%)</f>
        <v>589879.98849999998</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3:F4"/>
  <sheetViews>
    <sheetView workbookViewId="0">
      <selection activeCell="C4" sqref="C4"/>
    </sheetView>
  </sheetViews>
  <sheetFormatPr defaultRowHeight="15.5" x14ac:dyDescent="0.35"/>
  <cols>
    <col min="2" max="2" width="36.69140625" customWidth="1"/>
    <col min="5" max="5" width="13.765625" bestFit="1" customWidth="1"/>
  </cols>
  <sheetData>
    <row r="3" spans="1:6" x14ac:dyDescent="0.35">
      <c r="A3" s="7" t="s">
        <v>7</v>
      </c>
      <c r="B3" s="7" t="s">
        <v>10</v>
      </c>
      <c r="C3" s="7" t="s">
        <v>8</v>
      </c>
      <c r="D3" s="7" t="s">
        <v>9</v>
      </c>
      <c r="E3" s="7" t="s">
        <v>0</v>
      </c>
      <c r="F3" s="7" t="s">
        <v>4</v>
      </c>
    </row>
    <row r="4" spans="1:6" x14ac:dyDescent="0.35">
      <c r="A4" t="s">
        <v>64</v>
      </c>
      <c r="B4" t="s">
        <v>115</v>
      </c>
      <c r="C4">
        <v>8.5</v>
      </c>
      <c r="D4" s="1" t="s">
        <v>55</v>
      </c>
      <c r="E4" s="2" cm="1">
        <f t="array" ref="E4">SUM(('Summary Sheet'!D3:D12)*C4%)</f>
        <v>1002795.9804500001</v>
      </c>
      <c r="F4" t="s">
        <v>75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3:F4"/>
  <sheetViews>
    <sheetView workbookViewId="0">
      <selection activeCell="C10" sqref="C10"/>
    </sheetView>
  </sheetViews>
  <sheetFormatPr defaultRowHeight="15.5" x14ac:dyDescent="0.35"/>
  <cols>
    <col min="2" max="2" width="43.23046875" customWidth="1"/>
    <col min="5" max="5" width="13.765625" bestFit="1" customWidth="1"/>
    <col min="6" max="6" width="46.921875" customWidth="1"/>
  </cols>
  <sheetData>
    <row r="3" spans="1:6" x14ac:dyDescent="0.35">
      <c r="A3" s="7" t="s">
        <v>7</v>
      </c>
      <c r="B3" s="7" t="s">
        <v>10</v>
      </c>
      <c r="C3" s="7" t="s">
        <v>8</v>
      </c>
      <c r="D3" s="7" t="s">
        <v>9</v>
      </c>
      <c r="E3" s="7" t="s">
        <v>0</v>
      </c>
      <c r="F3" s="7" t="s">
        <v>4</v>
      </c>
    </row>
    <row r="4" spans="1:6" ht="62" x14ac:dyDescent="0.35">
      <c r="A4" t="s">
        <v>65</v>
      </c>
      <c r="B4" s="3" t="s">
        <v>229</v>
      </c>
      <c r="C4" s="11">
        <v>15</v>
      </c>
      <c r="D4" s="11" t="s">
        <v>55</v>
      </c>
      <c r="E4" s="17" cm="1">
        <f t="array" ref="E4">SUM(('Summary Sheet'!D3:D15)*C4%)</f>
        <v>2185505.3573924997</v>
      </c>
      <c r="F4"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Feasability Costs</vt:lpstr>
      <vt:lpstr>Summary Sheet</vt:lpstr>
      <vt:lpstr>0 Facilitating Works</vt:lpstr>
      <vt:lpstr>1 Substructure</vt:lpstr>
      <vt:lpstr>2 Superstructure</vt:lpstr>
      <vt:lpstr>3 Internal Finishes</vt:lpstr>
      <vt:lpstr>4 FFE</vt:lpstr>
      <vt:lpstr>5 Services</vt:lpstr>
      <vt:lpstr>6 Prefab Build &amp; Units</vt:lpstr>
      <vt:lpstr>7 Work to Exist Buildings</vt:lpstr>
      <vt:lpstr>8 External Works</vt:lpstr>
      <vt:lpstr>9 Main Contractor Prelims</vt:lpstr>
      <vt:lpstr>10 Main Contractor OH&amp;P</vt:lpstr>
      <vt:lpstr>11 Project_design fees</vt:lpstr>
      <vt:lpstr>12 Other Dev_Proj Costs</vt:lpstr>
      <vt:lpstr>13 Risks</vt:lpstr>
    </vt:vector>
  </TitlesOfParts>
  <Company>City &amp; County of Swansea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Dilley</dc:creator>
  <cp:lastModifiedBy>Tom Dilley</cp:lastModifiedBy>
  <dcterms:created xsi:type="dcterms:W3CDTF">2023-10-13T11:23:32Z</dcterms:created>
  <dcterms:modified xsi:type="dcterms:W3CDTF">2025-05-10T13:15:35Z</dcterms:modified>
</cp:coreProperties>
</file>