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\OneDrive\Bureaublad\"/>
    </mc:Choice>
  </mc:AlternateContent>
  <xr:revisionPtr revIDLastSave="0" documentId="8_{833059A3-2B92-43FF-AC3B-F707BC9337EF}" xr6:coauthVersionLast="45" xr6:coauthVersionMax="45" xr10:uidLastSave="{00000000-0000-0000-0000-000000000000}"/>
  <bookViews>
    <workbookView xWindow="-96" yWindow="-96" windowWidth="23232" windowHeight="12552" xr2:uid="{31CE82F2-2165-4807-95D4-128AD5801464}"/>
  </bookViews>
  <sheets>
    <sheet name="speed Calc." sheetId="1" r:id="rId1"/>
    <sheet name="power data" sheetId="2" r:id="rId2"/>
    <sheet name="COG Calc.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4" l="1"/>
  <c r="I10" i="4" s="1"/>
  <c r="I11" i="4" s="1"/>
  <c r="B12" i="4"/>
  <c r="F17" i="4"/>
  <c r="I53" i="4"/>
  <c r="I54" i="4"/>
  <c r="I55" i="4"/>
  <c r="B62" i="4" s="1"/>
  <c r="B56" i="4"/>
  <c r="F62" i="4" s="1"/>
  <c r="B61" i="4"/>
  <c r="H61" i="4" s="1"/>
  <c r="F61" i="4"/>
  <c r="H62" i="4" l="1"/>
  <c r="I62" i="4"/>
  <c r="B18" i="4"/>
  <c r="F18" i="4"/>
  <c r="B17" i="4"/>
  <c r="I61" i="4"/>
  <c r="H18" i="4" l="1"/>
  <c r="I18" i="4"/>
  <c r="H17" i="4"/>
  <c r="I17" i="4"/>
  <c r="T5" i="2" l="1"/>
  <c r="U5" i="2"/>
  <c r="V5" i="2"/>
  <c r="W5" i="2"/>
  <c r="X5" i="2"/>
  <c r="T6" i="2"/>
  <c r="U6" i="2"/>
  <c r="V6" i="2"/>
  <c r="W6" i="2"/>
  <c r="X6" i="2"/>
  <c r="T7" i="2"/>
  <c r="U7" i="2"/>
  <c r="V7" i="2"/>
  <c r="W7" i="2"/>
  <c r="X7" i="2"/>
  <c r="T8" i="2"/>
  <c r="U8" i="2"/>
  <c r="V8" i="2"/>
  <c r="W8" i="2"/>
  <c r="X8" i="2"/>
  <c r="T9" i="2"/>
  <c r="U9" i="2"/>
  <c r="V9" i="2"/>
  <c r="W9" i="2"/>
  <c r="X9" i="2"/>
  <c r="T10" i="2"/>
  <c r="U10" i="2"/>
  <c r="V10" i="2"/>
  <c r="W10" i="2"/>
  <c r="X10" i="2"/>
  <c r="T11" i="2"/>
  <c r="U11" i="2"/>
  <c r="V11" i="2"/>
  <c r="W11" i="2"/>
  <c r="X11" i="2"/>
  <c r="T12" i="2"/>
  <c r="U12" i="2"/>
  <c r="V12" i="2"/>
  <c r="W12" i="2"/>
  <c r="X12" i="2"/>
  <c r="T13" i="2"/>
  <c r="U13" i="2"/>
  <c r="V13" i="2"/>
  <c r="W13" i="2"/>
  <c r="X13" i="2"/>
  <c r="T14" i="2"/>
  <c r="U14" i="2"/>
  <c r="V14" i="2"/>
  <c r="W14" i="2"/>
  <c r="X14" i="2"/>
  <c r="T15" i="2"/>
  <c r="U15" i="2"/>
  <c r="V15" i="2"/>
  <c r="W15" i="2"/>
  <c r="X15" i="2"/>
  <c r="T16" i="2"/>
  <c r="U16" i="2"/>
  <c r="V16" i="2"/>
  <c r="W16" i="2"/>
  <c r="X16" i="2"/>
  <c r="T17" i="2"/>
  <c r="U17" i="2"/>
  <c r="V17" i="2"/>
  <c r="W17" i="2"/>
  <c r="X17" i="2"/>
  <c r="T18" i="2"/>
  <c r="U18" i="2"/>
  <c r="V18" i="2"/>
  <c r="W18" i="2"/>
  <c r="X18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M6" i="2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N5" i="2"/>
  <c r="O5" i="2"/>
  <c r="P5" i="2"/>
  <c r="Q5" i="2"/>
  <c r="R5" i="2"/>
  <c r="M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5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5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H23" i="1" l="1"/>
  <c r="H21" i="1"/>
  <c r="H19" i="1"/>
  <c r="H17" i="1"/>
  <c r="I17" i="1" s="1"/>
  <c r="H15" i="1"/>
  <c r="I15" i="1" s="1"/>
  <c r="H22" i="1"/>
  <c r="H20" i="1"/>
  <c r="I21" i="1" s="1"/>
  <c r="H18" i="1"/>
  <c r="H14" i="1"/>
  <c r="H16" i="1"/>
  <c r="G16" i="1"/>
  <c r="G18" i="1"/>
  <c r="G20" i="1"/>
  <c r="G22" i="1"/>
  <c r="G24" i="1"/>
  <c r="G14" i="1"/>
  <c r="F24" i="1"/>
  <c r="F22" i="1"/>
  <c r="F20" i="1"/>
  <c r="F18" i="1"/>
  <c r="F16" i="1"/>
  <c r="F14" i="1"/>
  <c r="S7" i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6" i="1"/>
  <c r="I23" i="1" l="1"/>
  <c r="I19" i="1"/>
</calcChain>
</file>

<file path=xl/sharedStrings.xml><?xml version="1.0" encoding="utf-8"?>
<sst xmlns="http://schemas.openxmlformats.org/spreadsheetml/2006/main" count="143" uniqueCount="65">
  <si>
    <t>Gearing/ Speed calculator</t>
  </si>
  <si>
    <t xml:space="preserve">Primary gearing: </t>
  </si>
  <si>
    <t>Secondary gearing:</t>
  </si>
  <si>
    <t>Wheel Diam. :</t>
  </si>
  <si>
    <t>RPM:</t>
  </si>
  <si>
    <t>revs/minute</t>
  </si>
  <si>
    <t>m</t>
  </si>
  <si>
    <t>1st</t>
  </si>
  <si>
    <t>2nd</t>
  </si>
  <si>
    <t>3rd</t>
  </si>
  <si>
    <t>4th</t>
  </si>
  <si>
    <t>5th</t>
  </si>
  <si>
    <t>6th</t>
  </si>
  <si>
    <t>Ratio:</t>
  </si>
  <si>
    <t>Revs:</t>
  </si>
  <si>
    <t>Falls:</t>
  </si>
  <si>
    <t>Speed (km/h):</t>
  </si>
  <si>
    <t>Bike: Rc390</t>
  </si>
  <si>
    <t>RPM</t>
  </si>
  <si>
    <t>Power (hp)</t>
  </si>
  <si>
    <t>Torque (Nm)</t>
  </si>
  <si>
    <t>Power (Kw)</t>
  </si>
  <si>
    <t>RC390:</t>
  </si>
  <si>
    <t>Speed 1st</t>
  </si>
  <si>
    <t>Speed 2nd</t>
  </si>
  <si>
    <t>Speed 3rd</t>
  </si>
  <si>
    <t>Speed 4th</t>
  </si>
  <si>
    <t>Speed 5th</t>
  </si>
  <si>
    <t>Speed 6th</t>
  </si>
  <si>
    <t xml:space="preserve"> </t>
  </si>
  <si>
    <t>Road Speed (km/h):</t>
  </si>
  <si>
    <t>Driving force (N):</t>
  </si>
  <si>
    <t>Force to overcome (N):</t>
  </si>
  <si>
    <t xml:space="preserve">Drag coefficient * Frontal area (general superbike value, Vittore Cossalter): </t>
  </si>
  <si>
    <r>
      <t>Density of air (</t>
    </r>
    <r>
      <rPr>
        <b/>
        <sz val="11"/>
        <color theme="1"/>
        <rFont val="Calibri"/>
        <family val="2"/>
      </rPr>
      <t>ρ</t>
    </r>
    <r>
      <rPr>
        <b/>
        <sz val="8.8000000000000007"/>
        <color theme="1"/>
        <rFont val="Calibri"/>
        <family val="2"/>
      </rPr>
      <t>):</t>
    </r>
  </si>
  <si>
    <t>Mass (Rider+bike):</t>
  </si>
  <si>
    <t>m2</t>
  </si>
  <si>
    <t>kg/m3</t>
  </si>
  <si>
    <t>kg</t>
  </si>
  <si>
    <t>Ycog W. rider (m)</t>
  </si>
  <si>
    <t>Xcog With Rider (m)</t>
  </si>
  <si>
    <t>Ycog (m)</t>
  </si>
  <si>
    <t>Xcog (m)</t>
  </si>
  <si>
    <t>%R</t>
  </si>
  <si>
    <t>%F</t>
  </si>
  <si>
    <t>lifted angle. (Deg)</t>
  </si>
  <si>
    <t>Stool weight (Kg)</t>
  </si>
  <si>
    <t>stool height. (m)</t>
  </si>
  <si>
    <t>Raverage. (m)</t>
  </si>
  <si>
    <t>Total weight (Kg)</t>
  </si>
  <si>
    <t>Fw Rad. (m)</t>
  </si>
  <si>
    <t>Rider weight (Kg)</t>
  </si>
  <si>
    <t>Rw Rad. (m)</t>
  </si>
  <si>
    <t>Bike weight (Kg)</t>
  </si>
  <si>
    <t>Wheelbase (m)</t>
  </si>
  <si>
    <t>Rear wheel (Kg)</t>
  </si>
  <si>
    <t>Front wheel (Kg)</t>
  </si>
  <si>
    <t>lifted w rider</t>
  </si>
  <si>
    <t>lifted</t>
  </si>
  <si>
    <t>level w rider</t>
  </si>
  <si>
    <t>level</t>
  </si>
  <si>
    <t>COG FS450 2020</t>
  </si>
  <si>
    <t>COG VFR400</t>
  </si>
  <si>
    <t>COG CRF450</t>
  </si>
  <si>
    <t>COG Calculator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</si>
</sst>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b/>
      <sz val="8.8000000000000007"/>
      <color theme="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5" fillId="0" borderId="0" xfId="0" applyNumberFormat="1" applyFont="1" applyAlignment="1">
      <alignment horizontal="center"/>
    </xf>
    <xf numFmtId="2" fontId="0" fillId="0" borderId="2" xfId="0" applyNumberForma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1" fillId="0" borderId="0" xfId="0" applyFont="1"/>
    <xf numFmtId="164" fontId="0" fillId="0" borderId="0" xfId="0" applyNumberFormat="1"/>
    <xf numFmtId="0" fontId="8" fillId="0" borderId="0" xfId="0" applyFont="1"/>
    <xf numFmtId="2" fontId="0" fillId="0" borderId="0" xfId="0" quotePrefix="1" applyNumberFormat="1"/>
    <xf numFmtId="0" fontId="7" fillId="0" borderId="0" xfId="0" applyFont="1"/>
    <xf numFmtId="0" fontId="0" fillId="0" borderId="8" xfId="0" applyBorder="1"/>
    <xf numFmtId="2" fontId="0" fillId="0" borderId="9" xfId="0" applyNumberFormat="1" applyBorder="1"/>
    <xf numFmtId="2" fontId="11" fillId="0" borderId="9" xfId="0" applyNumberFormat="1" applyFont="1" applyBorder="1"/>
    <xf numFmtId="0" fontId="11" fillId="0" borderId="9" xfId="0" applyFont="1" applyBorder="1"/>
    <xf numFmtId="164" fontId="11" fillId="0" borderId="9" xfId="0" applyNumberFormat="1" applyFont="1" applyBorder="1"/>
    <xf numFmtId="0" fontId="7" fillId="0" borderId="9" xfId="0" applyFont="1" applyBorder="1" applyAlignment="1">
      <alignment horizontal="center"/>
    </xf>
    <xf numFmtId="0" fontId="7" fillId="0" borderId="9" xfId="0" applyFont="1" applyBorder="1"/>
    <xf numFmtId="0" fontId="8" fillId="0" borderId="7" xfId="0" applyFont="1" applyBorder="1"/>
    <xf numFmtId="0" fontId="0" fillId="0" borderId="10" xfId="0" applyBorder="1"/>
    <xf numFmtId="2" fontId="11" fillId="0" borderId="0" xfId="0" applyNumberFormat="1" applyFont="1"/>
    <xf numFmtId="0" fontId="11" fillId="0" borderId="0" xfId="0" applyFont="1"/>
    <xf numFmtId="164" fontId="11" fillId="0" borderId="0" xfId="0" applyNumberFormat="1" applyFont="1"/>
    <xf numFmtId="0" fontId="8" fillId="0" borderId="11" xfId="0" applyFont="1" applyBorder="1"/>
    <xf numFmtId="0" fontId="0" fillId="0" borderId="11" xfId="0" applyBorder="1"/>
    <xf numFmtId="0" fontId="0" fillId="0" borderId="6" xfId="0" applyBorder="1"/>
    <xf numFmtId="0" fontId="0" fillId="0" borderId="12" xfId="0" applyBorder="1"/>
    <xf numFmtId="0" fontId="0" fillId="0" borderId="5" xfId="0" applyBorder="1"/>
    <xf numFmtId="0" fontId="0" fillId="0" borderId="9" xfId="0" applyBorder="1"/>
    <xf numFmtId="0" fontId="0" fillId="0" borderId="7" xfId="0" applyBorder="1"/>
    <xf numFmtId="0" fontId="1" fillId="0" borderId="12" xfId="0" applyFont="1" applyBorder="1"/>
    <xf numFmtId="0" fontId="1" fillId="0" borderId="5" xfId="0" applyFont="1" applyBorder="1"/>
    <xf numFmtId="0" fontId="8" fillId="0" borderId="9" xfId="0" applyFont="1" applyBorder="1"/>
    <xf numFmtId="0" fontId="8" fillId="0" borderId="12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9" fontId="0" fillId="0" borderId="0" xfId="1" applyFont="1"/>
    <xf numFmtId="0" fontId="2" fillId="0" borderId="0" xfId="0" applyFont="1" applyAlignment="1">
      <alignment horizontal="left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Driving</a:t>
            </a:r>
            <a:r>
              <a:rPr lang="en-GB" baseline="0"/>
              <a:t> Force Vs. Road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'power data'!$F$5:$F$18</c:f>
              <c:numCache>
                <c:formatCode>0.00</c:formatCode>
                <c:ptCount val="14"/>
                <c:pt idx="0">
                  <c:v>21.205750411731103</c:v>
                </c:pt>
                <c:pt idx="1">
                  <c:v>23.856469213197492</c:v>
                </c:pt>
                <c:pt idx="2">
                  <c:v>26.507188014663875</c:v>
                </c:pt>
                <c:pt idx="3">
                  <c:v>29.157906816130264</c:v>
                </c:pt>
                <c:pt idx="4">
                  <c:v>31.808625617596654</c:v>
                </c:pt>
                <c:pt idx="5">
                  <c:v>34.459344419063036</c:v>
                </c:pt>
                <c:pt idx="6">
                  <c:v>37.110063220529426</c:v>
                </c:pt>
                <c:pt idx="7">
                  <c:v>39.760782021995816</c:v>
                </c:pt>
                <c:pt idx="8">
                  <c:v>42.411500823462205</c:v>
                </c:pt>
                <c:pt idx="9">
                  <c:v>45.062219624928595</c:v>
                </c:pt>
                <c:pt idx="10">
                  <c:v>47.712938426394985</c:v>
                </c:pt>
                <c:pt idx="11">
                  <c:v>50.363657227861374</c:v>
                </c:pt>
                <c:pt idx="12">
                  <c:v>53.01437602932775</c:v>
                </c:pt>
                <c:pt idx="13">
                  <c:v>54.074663549914312</c:v>
                </c:pt>
              </c:numCache>
            </c:numRef>
          </c:xVal>
          <c:yVal>
            <c:numRef>
              <c:f>'power data'!$M$5:$M$18</c:f>
              <c:numCache>
                <c:formatCode>0.00</c:formatCode>
                <c:ptCount val="14"/>
                <c:pt idx="0">
                  <c:v>3164.8490950300366</c:v>
                </c:pt>
                <c:pt idx="1">
                  <c:v>2700.6712277589641</c:v>
                </c:pt>
                <c:pt idx="2">
                  <c:v>2633.1544470649906</c:v>
                </c:pt>
                <c:pt idx="3">
                  <c:v>2669.9817819889763</c:v>
                </c:pt>
                <c:pt idx="4">
                  <c:v>2869.4631794938991</c:v>
                </c:pt>
                <c:pt idx="5">
                  <c:v>2804.5431980573867</c:v>
                </c:pt>
                <c:pt idx="6">
                  <c:v>3038.2551312288351</c:v>
                </c:pt>
                <c:pt idx="7">
                  <c:v>2970.7383505348607</c:v>
                </c:pt>
                <c:pt idx="8">
                  <c:v>2974.958149328234</c:v>
                </c:pt>
                <c:pt idx="9">
                  <c:v>2919.1078711806454</c:v>
                </c:pt>
                <c:pt idx="10">
                  <c:v>2813.1991955822546</c:v>
                </c:pt>
                <c:pt idx="11">
                  <c:v>2771.7415232263052</c:v>
                </c:pt>
                <c:pt idx="12">
                  <c:v>2683.7920325854711</c:v>
                </c:pt>
                <c:pt idx="13">
                  <c:v>2675.8488819155914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0A0-4857-BB0A-E74BB971E7E3}"/>
            </c:ext>
          </c:extLst>
        </c:ser>
        <c:ser>
          <c:idx val="1"/>
          <c:order val="1"/>
          <c:tx>
            <c:v>2nd 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'power data'!$G$5:$G$18</c:f>
              <c:numCache>
                <c:formatCode>0.00</c:formatCode>
                <c:ptCount val="14"/>
                <c:pt idx="0">
                  <c:v>30.449282642485681</c:v>
                </c:pt>
                <c:pt idx="1">
                  <c:v>34.255442972796388</c:v>
                </c:pt>
                <c:pt idx="2">
                  <c:v>38.061603303107105</c:v>
                </c:pt>
                <c:pt idx="3">
                  <c:v>41.867763633417809</c:v>
                </c:pt>
                <c:pt idx="4">
                  <c:v>45.673923963728519</c:v>
                </c:pt>
                <c:pt idx="5">
                  <c:v>49.480084294039237</c:v>
                </c:pt>
                <c:pt idx="6">
                  <c:v>53.286244624349941</c:v>
                </c:pt>
                <c:pt idx="7">
                  <c:v>57.092404954660665</c:v>
                </c:pt>
                <c:pt idx="8">
                  <c:v>60.898565284971362</c:v>
                </c:pt>
                <c:pt idx="9">
                  <c:v>64.704725615282086</c:v>
                </c:pt>
                <c:pt idx="10">
                  <c:v>68.510885945592776</c:v>
                </c:pt>
                <c:pt idx="11">
                  <c:v>72.317046275903493</c:v>
                </c:pt>
                <c:pt idx="12">
                  <c:v>76.123206606214211</c:v>
                </c:pt>
                <c:pt idx="13">
                  <c:v>77.645670738338481</c:v>
                </c:pt>
              </c:numCache>
            </c:numRef>
          </c:xVal>
          <c:yVal>
            <c:numRef>
              <c:f>'power data'!$N$5:$N$18</c:f>
              <c:numCache>
                <c:formatCode>0.00</c:formatCode>
                <c:ptCount val="14"/>
                <c:pt idx="0">
                  <c:v>2204.091334038776</c:v>
                </c:pt>
                <c:pt idx="1">
                  <c:v>1880.824605046422</c:v>
                </c:pt>
                <c:pt idx="2">
                  <c:v>1833.8039899202611</c:v>
                </c:pt>
                <c:pt idx="3">
                  <c:v>1859.4515981708944</c:v>
                </c:pt>
                <c:pt idx="4">
                  <c:v>1998.3761428618232</c:v>
                </c:pt>
                <c:pt idx="5">
                  <c:v>1953.1640129328225</c:v>
                </c:pt>
                <c:pt idx="6">
                  <c:v>2115.9276806772245</c:v>
                </c:pt>
                <c:pt idx="7">
                  <c:v>2068.9070655510636</c:v>
                </c:pt>
                <c:pt idx="8">
                  <c:v>2071.845853996449</c:v>
                </c:pt>
                <c:pt idx="9">
                  <c:v>2032.9501245722352</c:v>
                </c:pt>
                <c:pt idx="10">
                  <c:v>1959.1922969233567</c:v>
                </c:pt>
                <c:pt idx="11">
                  <c:v>1930.3199893897488</c:v>
                </c:pt>
                <c:pt idx="12">
                  <c:v>1869.0694512648815</c:v>
                </c:pt>
                <c:pt idx="13">
                  <c:v>1863.5376141912159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0A0-4857-BB0A-E74BB971E7E3}"/>
            </c:ext>
          </c:extLst>
        </c:ser>
        <c:ser>
          <c:idx val="2"/>
          <c:order val="2"/>
          <c:tx>
            <c:v>3rd Gear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'power data'!$H$5:$H$18</c:f>
              <c:numCache>
                <c:formatCode>0.00</c:formatCode>
                <c:ptCount val="14"/>
                <c:pt idx="0">
                  <c:v>39.793506945470718</c:v>
                </c:pt>
                <c:pt idx="1">
                  <c:v>44.767695313654549</c:v>
                </c:pt>
                <c:pt idx="2">
                  <c:v>49.741883681838388</c:v>
                </c:pt>
                <c:pt idx="3">
                  <c:v>54.71607205002222</c:v>
                </c:pt>
                <c:pt idx="4">
                  <c:v>59.690260418206059</c:v>
                </c:pt>
                <c:pt idx="5">
                  <c:v>64.664448786389897</c:v>
                </c:pt>
                <c:pt idx="6">
                  <c:v>69.638637154573743</c:v>
                </c:pt>
                <c:pt idx="7">
                  <c:v>74.612825522757589</c:v>
                </c:pt>
                <c:pt idx="8">
                  <c:v>79.587013890941435</c:v>
                </c:pt>
                <c:pt idx="9">
                  <c:v>84.561202259125253</c:v>
                </c:pt>
                <c:pt idx="10">
                  <c:v>89.535390627309098</c:v>
                </c:pt>
                <c:pt idx="11">
                  <c:v>94.509578995492944</c:v>
                </c:pt>
                <c:pt idx="12">
                  <c:v>99.483767363676776</c:v>
                </c:pt>
                <c:pt idx="13">
                  <c:v>101.47344271095029</c:v>
                </c:pt>
              </c:numCache>
            </c:numRef>
          </c:xVal>
          <c:yVal>
            <c:numRef>
              <c:f>'power data'!$O$5:$O$18</c:f>
              <c:numCache>
                <c:formatCode>0.00</c:formatCode>
                <c:ptCount val="14"/>
                <c:pt idx="0">
                  <c:v>1686.5314256410063</c:v>
                </c:pt>
                <c:pt idx="1">
                  <c:v>1439.1734832136585</c:v>
                </c:pt>
                <c:pt idx="2">
                  <c:v>1403.1941461333172</c:v>
                </c:pt>
                <c:pt idx="3">
                  <c:v>1422.8192390862307</c:v>
                </c:pt>
                <c:pt idx="4">
                  <c:v>1529.1218259145123</c:v>
                </c:pt>
                <c:pt idx="5">
                  <c:v>1494.526309491107</c:v>
                </c:pt>
                <c:pt idx="6">
                  <c:v>1619.0701686153661</c:v>
                </c:pt>
                <c:pt idx="7">
                  <c:v>1583.0908315350243</c:v>
                </c:pt>
                <c:pt idx="8">
                  <c:v>1585.3395401025457</c:v>
                </c:pt>
                <c:pt idx="9">
                  <c:v>1555.5772208265282</c:v>
                </c:pt>
                <c:pt idx="10">
                  <c:v>1499.139045014228</c:v>
                </c:pt>
                <c:pt idx="11">
                  <c:v>1477.046469614018</c:v>
                </c:pt>
                <c:pt idx="12">
                  <c:v>1430.1786489435733</c:v>
                </c:pt>
                <c:pt idx="13">
                  <c:v>1425.945785757651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0A0-4857-BB0A-E74BB971E7E3}"/>
            </c:ext>
          </c:extLst>
        </c:ser>
        <c:ser>
          <c:idx val="3"/>
          <c:order val="3"/>
          <c:tx>
            <c:v>4th Gear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'power data'!$I$5:$I$18</c:f>
              <c:numCache>
                <c:formatCode>0.00</c:formatCode>
                <c:ptCount val="14"/>
                <c:pt idx="0">
                  <c:v>49.480084294039237</c:v>
                </c:pt>
                <c:pt idx="1">
                  <c:v>55.665094830794146</c:v>
                </c:pt>
                <c:pt idx="2">
                  <c:v>61.850105367549055</c:v>
                </c:pt>
                <c:pt idx="3">
                  <c:v>68.03511590430395</c:v>
                </c:pt>
                <c:pt idx="4">
                  <c:v>74.220126441058852</c:v>
                </c:pt>
                <c:pt idx="5">
                  <c:v>80.405136977813754</c:v>
                </c:pt>
                <c:pt idx="6">
                  <c:v>86.59014751456867</c:v>
                </c:pt>
                <c:pt idx="7">
                  <c:v>92.775158051323572</c:v>
                </c:pt>
                <c:pt idx="8">
                  <c:v>98.960168588078474</c:v>
                </c:pt>
                <c:pt idx="9">
                  <c:v>105.14517912483339</c:v>
                </c:pt>
                <c:pt idx="10">
                  <c:v>111.33018966158829</c:v>
                </c:pt>
                <c:pt idx="11">
                  <c:v>117.51520019834319</c:v>
                </c:pt>
                <c:pt idx="12">
                  <c:v>123.70021073509811</c:v>
                </c:pt>
                <c:pt idx="13">
                  <c:v>126.17421494980006</c:v>
                </c:pt>
              </c:numCache>
            </c:numRef>
          </c:xVal>
          <c:yVal>
            <c:numRef>
              <c:f>'power data'!$P$5:$P$18</c:f>
              <c:numCache>
                <c:formatCode>0.00</c:formatCode>
                <c:ptCount val="14"/>
                <c:pt idx="0">
                  <c:v>1356.3638978700158</c:v>
                </c:pt>
                <c:pt idx="1">
                  <c:v>1157.4305261824131</c:v>
                </c:pt>
                <c:pt idx="2">
                  <c:v>1128.4947630278527</c:v>
                </c:pt>
                <c:pt idx="3">
                  <c:v>1144.2779065667041</c:v>
                </c:pt>
                <c:pt idx="4">
                  <c:v>1229.7699340688141</c:v>
                </c:pt>
                <c:pt idx="5">
                  <c:v>1201.9470848817371</c:v>
                </c:pt>
                <c:pt idx="6">
                  <c:v>1302.1093419552149</c:v>
                </c:pt>
                <c:pt idx="7">
                  <c:v>1273.1735788006547</c:v>
                </c:pt>
                <c:pt idx="8">
                  <c:v>1274.9820639978147</c:v>
                </c:pt>
                <c:pt idx="9">
                  <c:v>1251.0462305059907</c:v>
                </c:pt>
                <c:pt idx="10">
                  <c:v>1205.6567981066805</c:v>
                </c:pt>
                <c:pt idx="11">
                  <c:v>1187.8892242398451</c:v>
                </c:pt>
                <c:pt idx="12">
                  <c:v>1150.1965853937729</c:v>
                </c:pt>
                <c:pt idx="13">
                  <c:v>1146.7923779638249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0A0-4857-BB0A-E74BB971E7E3}"/>
            </c:ext>
          </c:extLst>
        </c:ser>
        <c:ser>
          <c:idx val="4"/>
          <c:order val="4"/>
          <c:tx>
            <c:v>5th Gear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'power data'!$J$5:$J$18</c:f>
              <c:numCache>
                <c:formatCode>0.00</c:formatCode>
                <c:ptCount val="14"/>
                <c:pt idx="0">
                  <c:v>59.119061753917002</c:v>
                </c:pt>
                <c:pt idx="1">
                  <c:v>66.508944473156618</c:v>
                </c:pt>
                <c:pt idx="2">
                  <c:v>73.898827192396269</c:v>
                </c:pt>
                <c:pt idx="3">
                  <c:v>81.288709911635891</c:v>
                </c:pt>
                <c:pt idx="4">
                  <c:v>88.678592630875528</c:v>
                </c:pt>
                <c:pt idx="5">
                  <c:v>96.068475350115122</c:v>
                </c:pt>
                <c:pt idx="6">
                  <c:v>103.45835806935476</c:v>
                </c:pt>
                <c:pt idx="7">
                  <c:v>110.84824078859438</c:v>
                </c:pt>
                <c:pt idx="8">
                  <c:v>118.238123507834</c:v>
                </c:pt>
                <c:pt idx="9">
                  <c:v>125.62800622707364</c:v>
                </c:pt>
                <c:pt idx="10">
                  <c:v>133.01788894631324</c:v>
                </c:pt>
                <c:pt idx="11">
                  <c:v>140.40777166555293</c:v>
                </c:pt>
                <c:pt idx="12">
                  <c:v>147.79765438479254</c:v>
                </c:pt>
                <c:pt idx="13">
                  <c:v>150.75360747248837</c:v>
                </c:pt>
              </c:numCache>
            </c:numRef>
          </c:xVal>
          <c:yVal>
            <c:numRef>
              <c:f>'power data'!$Q$5:$Q$18</c:f>
              <c:numCache>
                <c:formatCode>0.00</c:formatCode>
                <c:ptCount val="14"/>
                <c:pt idx="0">
                  <c:v>1135.2176101738178</c:v>
                </c:pt>
                <c:pt idx="1">
                  <c:v>968.71902734832452</c:v>
                </c:pt>
                <c:pt idx="2">
                  <c:v>944.50105166461606</c:v>
                </c:pt>
                <c:pt idx="3">
                  <c:v>957.71085658300228</c:v>
                </c:pt>
                <c:pt idx="4">
                  <c:v>1029.2639665575944</c:v>
                </c:pt>
                <c:pt idx="5">
                  <c:v>1005.9774514771061</c:v>
                </c:pt>
                <c:pt idx="6">
                  <c:v>1089.8089057668649</c:v>
                </c:pt>
                <c:pt idx="7">
                  <c:v>1065.5909300831568</c:v>
                </c:pt>
                <c:pt idx="8">
                  <c:v>1067.1045535633884</c:v>
                </c:pt>
                <c:pt idx="9">
                  <c:v>1047.0713016191446</c:v>
                </c:pt>
                <c:pt idx="10">
                  <c:v>1009.0823201545049</c:v>
                </c:pt>
                <c:pt idx="11">
                  <c:v>994.21163333117454</c:v>
                </c:pt>
                <c:pt idx="12">
                  <c:v>962.66453342739715</c:v>
                </c:pt>
                <c:pt idx="13">
                  <c:v>959.81535981754917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0A0-4857-BB0A-E74BB971E7E3}"/>
            </c:ext>
          </c:extLst>
        </c:ser>
        <c:ser>
          <c:idx val="5"/>
          <c:order val="5"/>
          <c:tx>
            <c:v>6th gear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'power data'!$K$5:$K$18</c:f>
              <c:numCache>
                <c:formatCode>0.00</c:formatCode>
                <c:ptCount val="14"/>
                <c:pt idx="0">
                  <c:v>67.319842576924131</c:v>
                </c:pt>
                <c:pt idx="1">
                  <c:v>75.734822899039642</c:v>
                </c:pt>
                <c:pt idx="2">
                  <c:v>84.149803221155167</c:v>
                </c:pt>
                <c:pt idx="3">
                  <c:v>92.564783543270678</c:v>
                </c:pt>
                <c:pt idx="4">
                  <c:v>100.97976386538619</c:v>
                </c:pt>
                <c:pt idx="5">
                  <c:v>109.3947441875017</c:v>
                </c:pt>
                <c:pt idx="6">
                  <c:v>117.80972450961723</c:v>
                </c:pt>
                <c:pt idx="7">
                  <c:v>126.22470483173274</c:v>
                </c:pt>
                <c:pt idx="8">
                  <c:v>134.63968515384826</c:v>
                </c:pt>
                <c:pt idx="9">
                  <c:v>143.05466547596376</c:v>
                </c:pt>
                <c:pt idx="10">
                  <c:v>151.46964579807928</c:v>
                </c:pt>
                <c:pt idx="11">
                  <c:v>159.88462612019478</c:v>
                </c:pt>
                <c:pt idx="12">
                  <c:v>168.29960644231033</c:v>
                </c:pt>
                <c:pt idx="13">
                  <c:v>171.66559857115649</c:v>
                </c:pt>
              </c:numCache>
            </c:numRef>
          </c:xVal>
          <c:yVal>
            <c:numRef>
              <c:f>'power data'!$R$5:$R$18</c:f>
              <c:numCache>
                <c:formatCode>0.00</c:formatCode>
                <c:ptCount val="14"/>
                <c:pt idx="0">
                  <c:v>996.92746493446168</c:v>
                </c:pt>
                <c:pt idx="1">
                  <c:v>850.71143674407369</c:v>
                </c:pt>
                <c:pt idx="2">
                  <c:v>829.44365082547188</c:v>
                </c:pt>
                <c:pt idx="3">
                  <c:v>841.04426132652748</c:v>
                </c:pt>
                <c:pt idx="4">
                  <c:v>903.88090154057852</c:v>
                </c:pt>
                <c:pt idx="5">
                  <c:v>883.43110738807673</c:v>
                </c:pt>
                <c:pt idx="6">
                  <c:v>957.05036633708301</c:v>
                </c:pt>
                <c:pt idx="7">
                  <c:v>935.78258041848119</c:v>
                </c:pt>
                <c:pt idx="8">
                  <c:v>937.11181703839384</c:v>
                </c:pt>
                <c:pt idx="9">
                  <c:v>919.51897942190351</c:v>
                </c:pt>
                <c:pt idx="10">
                  <c:v>886.15774660841032</c:v>
                </c:pt>
                <c:pt idx="11">
                  <c:v>873.09857981628647</c:v>
                </c:pt>
                <c:pt idx="12">
                  <c:v>845.39449026442321</c:v>
                </c:pt>
                <c:pt idx="13">
                  <c:v>842.89239780341154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0A0-4857-BB0A-E74BB971E7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1238736"/>
        <c:axId val="681238416"/>
      </c:scatterChart>
      <c:valAx>
        <c:axId val="68123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238416"/>
        <c:crosses val="autoZero"/>
        <c:crossBetween val="midCat"/>
      </c:valAx>
      <c:valAx>
        <c:axId val="68123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238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149543</xdr:colOff>
      <xdr:row>23</xdr:row>
      <xdr:rowOff>52865</xdr:rowOff>
    </xdr:from>
    <xdr:to>
      <xdr:col>18</xdr:col>
      <xdr:colOff>254318</xdr:colOff>
      <xdr:row>38</xdr:row>
      <xdr:rowOff>81440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378FDE89-02A2-4755-85DF-D1F975A0C8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02CD4-7117-4F76-8506-F9D669E8ED89}">
  <dimension ref="A2:S130"/>
  <sheetViews>
    <sheetView tabSelected="1" zoomScale="90" zoomScaleNormal="90" workbookViewId="0">
      <selection activeCell="Q3" sqref="Q3"/>
    </sheetView>
  </sheetViews>
  <sheetFormatPr defaultRowHeight="14.4" x14ac:dyDescent="0.55000000000000004"/>
  <cols>
    <col min="7" max="7" width="12.3671875" customWidth="1"/>
    <col min="8" max="8" width="13.15625" customWidth="1"/>
    <col min="9" max="9" width="12.20703125" customWidth="1"/>
  </cols>
  <sheetData>
    <row r="2" spans="1:19" ht="18.3" x14ac:dyDescent="0.7">
      <c r="C2" s="2" t="s">
        <v>0</v>
      </c>
      <c r="G2" s="15" t="s">
        <v>17</v>
      </c>
    </row>
    <row r="4" spans="1:19" ht="15.6" x14ac:dyDescent="0.6">
      <c r="A4" s="1" t="s">
        <v>1</v>
      </c>
      <c r="B4" s="4"/>
      <c r="D4" s="5">
        <v>30</v>
      </c>
      <c r="E4" s="5">
        <v>80</v>
      </c>
    </row>
    <row r="5" spans="1:19" ht="15.9" thickBot="1" x14ac:dyDescent="0.65">
      <c r="A5" s="4"/>
      <c r="B5" s="4"/>
      <c r="D5" s="4"/>
      <c r="E5" s="4"/>
      <c r="S5">
        <v>4500</v>
      </c>
    </row>
    <row r="6" spans="1:19" ht="15.9" thickBot="1" x14ac:dyDescent="0.65">
      <c r="A6" s="1" t="s">
        <v>2</v>
      </c>
      <c r="B6" s="4"/>
      <c r="D6" s="12">
        <v>15</v>
      </c>
      <c r="E6" s="13">
        <v>45</v>
      </c>
      <c r="S6">
        <f>S5+100</f>
        <v>4600</v>
      </c>
    </row>
    <row r="7" spans="1:19" ht="15.9" thickBot="1" x14ac:dyDescent="0.65">
      <c r="A7" s="4"/>
      <c r="B7" s="4"/>
      <c r="S7">
        <f t="shared" ref="S7:S70" si="0">S6+100</f>
        <v>4700</v>
      </c>
    </row>
    <row r="8" spans="1:19" ht="15.9" thickBot="1" x14ac:dyDescent="0.65">
      <c r="A8" s="1" t="s">
        <v>3</v>
      </c>
      <c r="B8" s="4"/>
      <c r="D8" s="14">
        <v>0.6</v>
      </c>
      <c r="E8" s="4" t="s">
        <v>6</v>
      </c>
      <c r="F8" s="4"/>
      <c r="S8">
        <f t="shared" si="0"/>
        <v>4800</v>
      </c>
    </row>
    <row r="9" spans="1:19" ht="15.9" thickBot="1" x14ac:dyDescent="0.65">
      <c r="A9" s="4"/>
      <c r="B9" s="4"/>
      <c r="D9" s="4"/>
      <c r="E9" s="4"/>
      <c r="F9" s="4"/>
      <c r="S9">
        <f t="shared" si="0"/>
        <v>4900</v>
      </c>
    </row>
    <row r="10" spans="1:19" ht="15.9" thickBot="1" x14ac:dyDescent="0.65">
      <c r="A10" s="1" t="s">
        <v>4</v>
      </c>
      <c r="B10" s="4"/>
      <c r="D10" s="14">
        <v>10000</v>
      </c>
      <c r="E10" s="4" t="s">
        <v>5</v>
      </c>
      <c r="F10" s="4"/>
      <c r="S10">
        <f t="shared" si="0"/>
        <v>5000</v>
      </c>
    </row>
    <row r="11" spans="1:19" x14ac:dyDescent="0.55000000000000004">
      <c r="S11">
        <f t="shared" si="0"/>
        <v>5100</v>
      </c>
    </row>
    <row r="12" spans="1:19" x14ac:dyDescent="0.55000000000000004">
      <c r="F12" s="3" t="s">
        <v>13</v>
      </c>
      <c r="G12" s="3" t="s">
        <v>16</v>
      </c>
      <c r="H12" s="3" t="s">
        <v>14</v>
      </c>
      <c r="I12" s="3" t="s">
        <v>15</v>
      </c>
      <c r="S12">
        <f t="shared" si="0"/>
        <v>5200</v>
      </c>
    </row>
    <row r="13" spans="1:19" ht="14.7" thickBot="1" x14ac:dyDescent="0.6">
      <c r="S13">
        <f t="shared" si="0"/>
        <v>5300</v>
      </c>
    </row>
    <row r="14" spans="1:19" ht="15.9" thickBot="1" x14ac:dyDescent="0.65">
      <c r="B14" s="1" t="s">
        <v>7</v>
      </c>
      <c r="D14" s="7">
        <v>12</v>
      </c>
      <c r="E14" s="7">
        <v>32</v>
      </c>
      <c r="F14" s="9">
        <f>E14/D14</f>
        <v>2.6666666666666665</v>
      </c>
      <c r="G14" s="11">
        <f>$D$10*60*(D14/E14)*($D$4/$E$4)*$D$8*PI()/1000*($D$6/$E$6)</f>
        <v>53.01437602932775</v>
      </c>
      <c r="H14">
        <f>D10</f>
        <v>10000</v>
      </c>
      <c r="S14">
        <f t="shared" si="0"/>
        <v>5400</v>
      </c>
    </row>
    <row r="15" spans="1:19" ht="15.9" thickBot="1" x14ac:dyDescent="0.65">
      <c r="B15" s="1"/>
      <c r="D15" s="3"/>
      <c r="E15" s="3"/>
      <c r="F15" s="9"/>
      <c r="H15" s="10">
        <f>D10*(D14/E14)*(E16/D16)</f>
        <v>6964.2857142857147</v>
      </c>
      <c r="I15" s="9">
        <f>H14-H15</f>
        <v>3035.7142857142853</v>
      </c>
      <c r="J15" s="6"/>
      <c r="S15">
        <f t="shared" si="0"/>
        <v>5500</v>
      </c>
    </row>
    <row r="16" spans="1:19" ht="15.9" thickBot="1" x14ac:dyDescent="0.65">
      <c r="B16" s="1" t="s">
        <v>8</v>
      </c>
      <c r="D16" s="7">
        <v>14</v>
      </c>
      <c r="E16" s="7">
        <v>26</v>
      </c>
      <c r="F16" s="9">
        <f>E16/D16</f>
        <v>1.8571428571428572</v>
      </c>
      <c r="G16" s="11">
        <f t="shared" ref="G16:G24" si="1">$D$10*60*(D16/E16)*($D$4/$E$4)*$D$8*PI()/1000*($D$6/$E$6)</f>
        <v>76.123206606214211</v>
      </c>
      <c r="H16">
        <f>D10</f>
        <v>10000</v>
      </c>
      <c r="I16" s="6"/>
      <c r="J16" s="6"/>
      <c r="S16">
        <f t="shared" si="0"/>
        <v>5600</v>
      </c>
    </row>
    <row r="17" spans="2:19" ht="15.9" thickBot="1" x14ac:dyDescent="0.65">
      <c r="B17" s="1"/>
      <c r="D17" s="3"/>
      <c r="E17" s="3"/>
      <c r="F17" s="9"/>
      <c r="H17" s="10">
        <f>D10*(D16/E16)*(E18/D18)</f>
        <v>7651.821862348178</v>
      </c>
      <c r="I17" s="9">
        <f>H16-H17</f>
        <v>2348.178137651822</v>
      </c>
      <c r="J17" s="6"/>
      <c r="S17">
        <f t="shared" si="0"/>
        <v>5700</v>
      </c>
    </row>
    <row r="18" spans="2:19" ht="15.9" thickBot="1" x14ac:dyDescent="0.65">
      <c r="B18" s="1" t="s">
        <v>9</v>
      </c>
      <c r="D18" s="7">
        <v>19</v>
      </c>
      <c r="E18" s="7">
        <v>27</v>
      </c>
      <c r="F18" s="9">
        <f>E18/D18</f>
        <v>1.4210526315789473</v>
      </c>
      <c r="G18" s="11">
        <f t="shared" si="1"/>
        <v>99.483767363676776</v>
      </c>
      <c r="H18">
        <f>D10</f>
        <v>10000</v>
      </c>
      <c r="I18" s="6"/>
      <c r="J18" s="6"/>
      <c r="S18">
        <f t="shared" si="0"/>
        <v>5800</v>
      </c>
    </row>
    <row r="19" spans="2:19" ht="15.9" thickBot="1" x14ac:dyDescent="0.65">
      <c r="B19" s="1"/>
      <c r="D19" s="3"/>
      <c r="E19" s="3"/>
      <c r="F19" s="9"/>
      <c r="H19" s="10">
        <f>D10*(D18/E18)*(E20/D20)</f>
        <v>8042.3280423280421</v>
      </c>
      <c r="I19" s="9">
        <f>H18-H19</f>
        <v>1957.6719576719579</v>
      </c>
      <c r="J19" s="6"/>
      <c r="S19">
        <f t="shared" si="0"/>
        <v>5900</v>
      </c>
    </row>
    <row r="20" spans="2:19" ht="15.9" thickBot="1" x14ac:dyDescent="0.65">
      <c r="B20" s="1" t="s">
        <v>10</v>
      </c>
      <c r="D20" s="7">
        <v>21</v>
      </c>
      <c r="E20" s="7">
        <v>24</v>
      </c>
      <c r="F20" s="9">
        <f>E20/D20</f>
        <v>1.1428571428571428</v>
      </c>
      <c r="G20" s="11">
        <f t="shared" si="1"/>
        <v>123.70021073509811</v>
      </c>
      <c r="H20">
        <f>D10</f>
        <v>10000</v>
      </c>
      <c r="I20" s="6"/>
      <c r="J20" s="6"/>
      <c r="S20">
        <f t="shared" si="0"/>
        <v>6000</v>
      </c>
    </row>
    <row r="21" spans="2:19" ht="15.9" thickBot="1" x14ac:dyDescent="0.65">
      <c r="B21" s="1"/>
      <c r="D21" s="3"/>
      <c r="E21" s="3"/>
      <c r="F21" s="9"/>
      <c r="H21" s="10">
        <f>D10*(D20/E20)*(E22/D22)</f>
        <v>8369.565217391304</v>
      </c>
      <c r="I21" s="9">
        <f>H20-H21</f>
        <v>1630.434782608696</v>
      </c>
      <c r="J21" s="6"/>
      <c r="S21">
        <f t="shared" si="0"/>
        <v>6100</v>
      </c>
    </row>
    <row r="22" spans="2:19" ht="15.9" thickBot="1" x14ac:dyDescent="0.65">
      <c r="B22" s="1" t="s">
        <v>11</v>
      </c>
      <c r="D22" s="7">
        <v>23</v>
      </c>
      <c r="E22" s="7">
        <v>22</v>
      </c>
      <c r="F22" s="9">
        <f>E22/D22</f>
        <v>0.95652173913043481</v>
      </c>
      <c r="G22" s="11">
        <f t="shared" si="1"/>
        <v>147.79765438479254</v>
      </c>
      <c r="H22">
        <f>D10</f>
        <v>10000</v>
      </c>
      <c r="S22">
        <f t="shared" si="0"/>
        <v>6200</v>
      </c>
    </row>
    <row r="23" spans="2:19" ht="15.9" thickBot="1" x14ac:dyDescent="0.65">
      <c r="B23" s="1"/>
      <c r="D23" s="3"/>
      <c r="E23" s="3"/>
      <c r="F23" s="9"/>
      <c r="H23" s="10">
        <f>D10*(D22/E22)*(E24/D24)</f>
        <v>8781.818181818182</v>
      </c>
      <c r="I23" s="8">
        <f>H22-H23</f>
        <v>1218.181818181818</v>
      </c>
      <c r="S23">
        <f t="shared" si="0"/>
        <v>6300</v>
      </c>
    </row>
    <row r="24" spans="2:19" ht="15.9" thickBot="1" x14ac:dyDescent="0.65">
      <c r="B24" s="1" t="s">
        <v>12</v>
      </c>
      <c r="D24" s="7">
        <v>25</v>
      </c>
      <c r="E24" s="7">
        <v>21</v>
      </c>
      <c r="F24" s="9">
        <f>E24/D24</f>
        <v>0.84</v>
      </c>
      <c r="G24" s="11">
        <f t="shared" si="1"/>
        <v>168.29960644231033</v>
      </c>
      <c r="S24">
        <f t="shared" si="0"/>
        <v>6400</v>
      </c>
    </row>
    <row r="25" spans="2:19" x14ac:dyDescent="0.55000000000000004">
      <c r="S25">
        <f t="shared" si="0"/>
        <v>6500</v>
      </c>
    </row>
    <row r="26" spans="2:19" x14ac:dyDescent="0.55000000000000004">
      <c r="S26">
        <f t="shared" si="0"/>
        <v>6600</v>
      </c>
    </row>
    <row r="27" spans="2:19" x14ac:dyDescent="0.55000000000000004">
      <c r="S27">
        <f t="shared" si="0"/>
        <v>6700</v>
      </c>
    </row>
    <row r="28" spans="2:19" x14ac:dyDescent="0.55000000000000004">
      <c r="S28">
        <f t="shared" si="0"/>
        <v>6800</v>
      </c>
    </row>
    <row r="29" spans="2:19" x14ac:dyDescent="0.55000000000000004">
      <c r="S29">
        <f t="shared" si="0"/>
        <v>6900</v>
      </c>
    </row>
    <row r="30" spans="2:19" x14ac:dyDescent="0.55000000000000004">
      <c r="S30">
        <f t="shared" si="0"/>
        <v>7000</v>
      </c>
    </row>
    <row r="31" spans="2:19" x14ac:dyDescent="0.55000000000000004">
      <c r="S31">
        <f t="shared" si="0"/>
        <v>7100</v>
      </c>
    </row>
    <row r="32" spans="2:19" x14ac:dyDescent="0.55000000000000004">
      <c r="S32">
        <f t="shared" si="0"/>
        <v>7200</v>
      </c>
    </row>
    <row r="33" spans="19:19" x14ac:dyDescent="0.55000000000000004">
      <c r="S33">
        <f t="shared" si="0"/>
        <v>7300</v>
      </c>
    </row>
    <row r="34" spans="19:19" x14ac:dyDescent="0.55000000000000004">
      <c r="S34">
        <f t="shared" si="0"/>
        <v>7400</v>
      </c>
    </row>
    <row r="35" spans="19:19" x14ac:dyDescent="0.55000000000000004">
      <c r="S35">
        <f t="shared" si="0"/>
        <v>7500</v>
      </c>
    </row>
    <row r="36" spans="19:19" x14ac:dyDescent="0.55000000000000004">
      <c r="S36">
        <f t="shared" si="0"/>
        <v>7600</v>
      </c>
    </row>
    <row r="37" spans="19:19" x14ac:dyDescent="0.55000000000000004">
      <c r="S37">
        <f t="shared" si="0"/>
        <v>7700</v>
      </c>
    </row>
    <row r="38" spans="19:19" x14ac:dyDescent="0.55000000000000004">
      <c r="S38">
        <f t="shared" si="0"/>
        <v>7800</v>
      </c>
    </row>
    <row r="39" spans="19:19" x14ac:dyDescent="0.55000000000000004">
      <c r="S39">
        <f t="shared" si="0"/>
        <v>7900</v>
      </c>
    </row>
    <row r="40" spans="19:19" x14ac:dyDescent="0.55000000000000004">
      <c r="S40">
        <f t="shared" si="0"/>
        <v>8000</v>
      </c>
    </row>
    <row r="41" spans="19:19" x14ac:dyDescent="0.55000000000000004">
      <c r="S41">
        <f t="shared" si="0"/>
        <v>8100</v>
      </c>
    </row>
    <row r="42" spans="19:19" x14ac:dyDescent="0.55000000000000004">
      <c r="S42">
        <f t="shared" si="0"/>
        <v>8200</v>
      </c>
    </row>
    <row r="43" spans="19:19" x14ac:dyDescent="0.55000000000000004">
      <c r="S43">
        <f t="shared" si="0"/>
        <v>8300</v>
      </c>
    </row>
    <row r="44" spans="19:19" x14ac:dyDescent="0.55000000000000004">
      <c r="S44">
        <f t="shared" si="0"/>
        <v>8400</v>
      </c>
    </row>
    <row r="45" spans="19:19" x14ac:dyDescent="0.55000000000000004">
      <c r="S45">
        <f t="shared" si="0"/>
        <v>8500</v>
      </c>
    </row>
    <row r="46" spans="19:19" x14ac:dyDescent="0.55000000000000004">
      <c r="S46">
        <f t="shared" si="0"/>
        <v>8600</v>
      </c>
    </row>
    <row r="47" spans="19:19" x14ac:dyDescent="0.55000000000000004">
      <c r="S47">
        <f t="shared" si="0"/>
        <v>8700</v>
      </c>
    </row>
    <row r="48" spans="19:19" x14ac:dyDescent="0.55000000000000004">
      <c r="S48">
        <f t="shared" si="0"/>
        <v>8800</v>
      </c>
    </row>
    <row r="49" spans="19:19" x14ac:dyDescent="0.55000000000000004">
      <c r="S49">
        <f t="shared" si="0"/>
        <v>8900</v>
      </c>
    </row>
    <row r="50" spans="19:19" x14ac:dyDescent="0.55000000000000004">
      <c r="S50">
        <f t="shared" si="0"/>
        <v>9000</v>
      </c>
    </row>
    <row r="51" spans="19:19" x14ac:dyDescent="0.55000000000000004">
      <c r="S51">
        <f t="shared" si="0"/>
        <v>9100</v>
      </c>
    </row>
    <row r="52" spans="19:19" x14ac:dyDescent="0.55000000000000004">
      <c r="S52">
        <f t="shared" si="0"/>
        <v>9200</v>
      </c>
    </row>
    <row r="53" spans="19:19" x14ac:dyDescent="0.55000000000000004">
      <c r="S53">
        <f t="shared" si="0"/>
        <v>9300</v>
      </c>
    </row>
    <row r="54" spans="19:19" x14ac:dyDescent="0.55000000000000004">
      <c r="S54">
        <f t="shared" si="0"/>
        <v>9400</v>
      </c>
    </row>
    <row r="55" spans="19:19" x14ac:dyDescent="0.55000000000000004">
      <c r="S55">
        <f t="shared" si="0"/>
        <v>9500</v>
      </c>
    </row>
    <row r="56" spans="19:19" x14ac:dyDescent="0.55000000000000004">
      <c r="S56">
        <f t="shared" si="0"/>
        <v>9600</v>
      </c>
    </row>
    <row r="57" spans="19:19" x14ac:dyDescent="0.55000000000000004">
      <c r="S57">
        <f t="shared" si="0"/>
        <v>9700</v>
      </c>
    </row>
    <row r="58" spans="19:19" x14ac:dyDescent="0.55000000000000004">
      <c r="S58">
        <f t="shared" si="0"/>
        <v>9800</v>
      </c>
    </row>
    <row r="59" spans="19:19" x14ac:dyDescent="0.55000000000000004">
      <c r="S59">
        <f t="shared" si="0"/>
        <v>9900</v>
      </c>
    </row>
    <row r="60" spans="19:19" x14ac:dyDescent="0.55000000000000004">
      <c r="S60">
        <f t="shared" si="0"/>
        <v>10000</v>
      </c>
    </row>
    <row r="61" spans="19:19" x14ac:dyDescent="0.55000000000000004">
      <c r="S61">
        <f t="shared" si="0"/>
        <v>10100</v>
      </c>
    </row>
    <row r="62" spans="19:19" x14ac:dyDescent="0.55000000000000004">
      <c r="S62">
        <f t="shared" si="0"/>
        <v>10200</v>
      </c>
    </row>
    <row r="63" spans="19:19" x14ac:dyDescent="0.55000000000000004">
      <c r="S63">
        <f t="shared" si="0"/>
        <v>10300</v>
      </c>
    </row>
    <row r="64" spans="19:19" x14ac:dyDescent="0.55000000000000004">
      <c r="S64">
        <f t="shared" si="0"/>
        <v>10400</v>
      </c>
    </row>
    <row r="65" spans="19:19" x14ac:dyDescent="0.55000000000000004">
      <c r="S65">
        <f t="shared" si="0"/>
        <v>10500</v>
      </c>
    </row>
    <row r="66" spans="19:19" x14ac:dyDescent="0.55000000000000004">
      <c r="S66">
        <f t="shared" si="0"/>
        <v>10600</v>
      </c>
    </row>
    <row r="67" spans="19:19" x14ac:dyDescent="0.55000000000000004">
      <c r="S67">
        <f t="shared" si="0"/>
        <v>10700</v>
      </c>
    </row>
    <row r="68" spans="19:19" x14ac:dyDescent="0.55000000000000004">
      <c r="S68">
        <f t="shared" si="0"/>
        <v>10800</v>
      </c>
    </row>
    <row r="69" spans="19:19" x14ac:dyDescent="0.55000000000000004">
      <c r="S69">
        <f t="shared" si="0"/>
        <v>10900</v>
      </c>
    </row>
    <row r="70" spans="19:19" x14ac:dyDescent="0.55000000000000004">
      <c r="S70">
        <f t="shared" si="0"/>
        <v>11000</v>
      </c>
    </row>
    <row r="71" spans="19:19" x14ac:dyDescent="0.55000000000000004">
      <c r="S71">
        <f t="shared" ref="S71:S130" si="2">S70+100</f>
        <v>11100</v>
      </c>
    </row>
    <row r="72" spans="19:19" x14ac:dyDescent="0.55000000000000004">
      <c r="S72">
        <f t="shared" si="2"/>
        <v>11200</v>
      </c>
    </row>
    <row r="73" spans="19:19" x14ac:dyDescent="0.55000000000000004">
      <c r="S73">
        <f t="shared" si="2"/>
        <v>11300</v>
      </c>
    </row>
    <row r="74" spans="19:19" x14ac:dyDescent="0.55000000000000004">
      <c r="S74">
        <f t="shared" si="2"/>
        <v>11400</v>
      </c>
    </row>
    <row r="75" spans="19:19" x14ac:dyDescent="0.55000000000000004">
      <c r="S75">
        <f t="shared" si="2"/>
        <v>11500</v>
      </c>
    </row>
    <row r="76" spans="19:19" x14ac:dyDescent="0.55000000000000004">
      <c r="S76">
        <f t="shared" si="2"/>
        <v>11600</v>
      </c>
    </row>
    <row r="77" spans="19:19" x14ac:dyDescent="0.55000000000000004">
      <c r="S77">
        <f t="shared" si="2"/>
        <v>11700</v>
      </c>
    </row>
    <row r="78" spans="19:19" x14ac:dyDescent="0.55000000000000004">
      <c r="S78">
        <f t="shared" si="2"/>
        <v>11800</v>
      </c>
    </row>
    <row r="79" spans="19:19" x14ac:dyDescent="0.55000000000000004">
      <c r="S79">
        <f t="shared" si="2"/>
        <v>11900</v>
      </c>
    </row>
    <row r="80" spans="19:19" x14ac:dyDescent="0.55000000000000004">
      <c r="S80">
        <f t="shared" si="2"/>
        <v>12000</v>
      </c>
    </row>
    <row r="81" spans="19:19" x14ac:dyDescent="0.55000000000000004">
      <c r="S81">
        <f t="shared" si="2"/>
        <v>12100</v>
      </c>
    </row>
    <row r="82" spans="19:19" x14ac:dyDescent="0.55000000000000004">
      <c r="S82">
        <f t="shared" si="2"/>
        <v>12200</v>
      </c>
    </row>
    <row r="83" spans="19:19" x14ac:dyDescent="0.55000000000000004">
      <c r="S83">
        <f t="shared" si="2"/>
        <v>12300</v>
      </c>
    </row>
    <row r="84" spans="19:19" x14ac:dyDescent="0.55000000000000004">
      <c r="S84">
        <f t="shared" si="2"/>
        <v>12400</v>
      </c>
    </row>
    <row r="85" spans="19:19" x14ac:dyDescent="0.55000000000000004">
      <c r="S85">
        <f t="shared" si="2"/>
        <v>12500</v>
      </c>
    </row>
    <row r="86" spans="19:19" x14ac:dyDescent="0.55000000000000004">
      <c r="S86">
        <f t="shared" si="2"/>
        <v>12600</v>
      </c>
    </row>
    <row r="87" spans="19:19" x14ac:dyDescent="0.55000000000000004">
      <c r="S87">
        <f t="shared" si="2"/>
        <v>12700</v>
      </c>
    </row>
    <row r="88" spans="19:19" x14ac:dyDescent="0.55000000000000004">
      <c r="S88">
        <f t="shared" si="2"/>
        <v>12800</v>
      </c>
    </row>
    <row r="89" spans="19:19" x14ac:dyDescent="0.55000000000000004">
      <c r="S89">
        <f t="shared" si="2"/>
        <v>12900</v>
      </c>
    </row>
    <row r="90" spans="19:19" x14ac:dyDescent="0.55000000000000004">
      <c r="S90">
        <f t="shared" si="2"/>
        <v>13000</v>
      </c>
    </row>
    <row r="91" spans="19:19" x14ac:dyDescent="0.55000000000000004">
      <c r="S91">
        <f t="shared" si="2"/>
        <v>13100</v>
      </c>
    </row>
    <row r="92" spans="19:19" x14ac:dyDescent="0.55000000000000004">
      <c r="S92">
        <f t="shared" si="2"/>
        <v>13200</v>
      </c>
    </row>
    <row r="93" spans="19:19" x14ac:dyDescent="0.55000000000000004">
      <c r="S93">
        <f t="shared" si="2"/>
        <v>13300</v>
      </c>
    </row>
    <row r="94" spans="19:19" x14ac:dyDescent="0.55000000000000004">
      <c r="S94">
        <f t="shared" si="2"/>
        <v>13400</v>
      </c>
    </row>
    <row r="95" spans="19:19" x14ac:dyDescent="0.55000000000000004">
      <c r="S95">
        <f t="shared" si="2"/>
        <v>13500</v>
      </c>
    </row>
    <row r="96" spans="19:19" x14ac:dyDescent="0.55000000000000004">
      <c r="S96">
        <f t="shared" si="2"/>
        <v>13600</v>
      </c>
    </row>
    <row r="97" spans="19:19" x14ac:dyDescent="0.55000000000000004">
      <c r="S97">
        <f t="shared" si="2"/>
        <v>13700</v>
      </c>
    </row>
    <row r="98" spans="19:19" x14ac:dyDescent="0.55000000000000004">
      <c r="S98">
        <f t="shared" si="2"/>
        <v>13800</v>
      </c>
    </row>
    <row r="99" spans="19:19" x14ac:dyDescent="0.55000000000000004">
      <c r="S99">
        <f t="shared" si="2"/>
        <v>13900</v>
      </c>
    </row>
    <row r="100" spans="19:19" x14ac:dyDescent="0.55000000000000004">
      <c r="S100">
        <f t="shared" si="2"/>
        <v>14000</v>
      </c>
    </row>
    <row r="101" spans="19:19" x14ac:dyDescent="0.55000000000000004">
      <c r="S101">
        <f t="shared" si="2"/>
        <v>14100</v>
      </c>
    </row>
    <row r="102" spans="19:19" x14ac:dyDescent="0.55000000000000004">
      <c r="S102">
        <f t="shared" si="2"/>
        <v>14200</v>
      </c>
    </row>
    <row r="103" spans="19:19" x14ac:dyDescent="0.55000000000000004">
      <c r="S103">
        <f t="shared" si="2"/>
        <v>14300</v>
      </c>
    </row>
    <row r="104" spans="19:19" x14ac:dyDescent="0.55000000000000004">
      <c r="S104">
        <f t="shared" si="2"/>
        <v>14400</v>
      </c>
    </row>
    <row r="105" spans="19:19" x14ac:dyDescent="0.55000000000000004">
      <c r="S105">
        <f t="shared" si="2"/>
        <v>14500</v>
      </c>
    </row>
    <row r="106" spans="19:19" x14ac:dyDescent="0.55000000000000004">
      <c r="S106">
        <f t="shared" si="2"/>
        <v>14600</v>
      </c>
    </row>
    <row r="107" spans="19:19" x14ac:dyDescent="0.55000000000000004">
      <c r="S107">
        <f t="shared" si="2"/>
        <v>14700</v>
      </c>
    </row>
    <row r="108" spans="19:19" x14ac:dyDescent="0.55000000000000004">
      <c r="S108">
        <f t="shared" si="2"/>
        <v>14800</v>
      </c>
    </row>
    <row r="109" spans="19:19" x14ac:dyDescent="0.55000000000000004">
      <c r="S109">
        <f t="shared" si="2"/>
        <v>14900</v>
      </c>
    </row>
    <row r="110" spans="19:19" x14ac:dyDescent="0.55000000000000004">
      <c r="S110">
        <f t="shared" si="2"/>
        <v>15000</v>
      </c>
    </row>
    <row r="111" spans="19:19" x14ac:dyDescent="0.55000000000000004">
      <c r="S111">
        <f t="shared" si="2"/>
        <v>15100</v>
      </c>
    </row>
    <row r="112" spans="19:19" x14ac:dyDescent="0.55000000000000004">
      <c r="S112">
        <f t="shared" si="2"/>
        <v>15200</v>
      </c>
    </row>
    <row r="113" spans="19:19" x14ac:dyDescent="0.55000000000000004">
      <c r="S113">
        <f t="shared" si="2"/>
        <v>15300</v>
      </c>
    </row>
    <row r="114" spans="19:19" x14ac:dyDescent="0.55000000000000004">
      <c r="S114">
        <f t="shared" si="2"/>
        <v>15400</v>
      </c>
    </row>
    <row r="115" spans="19:19" x14ac:dyDescent="0.55000000000000004">
      <c r="S115">
        <f t="shared" si="2"/>
        <v>15500</v>
      </c>
    </row>
    <row r="116" spans="19:19" x14ac:dyDescent="0.55000000000000004">
      <c r="S116">
        <f t="shared" si="2"/>
        <v>15600</v>
      </c>
    </row>
    <row r="117" spans="19:19" x14ac:dyDescent="0.55000000000000004">
      <c r="S117">
        <f t="shared" si="2"/>
        <v>15700</v>
      </c>
    </row>
    <row r="118" spans="19:19" x14ac:dyDescent="0.55000000000000004">
      <c r="S118">
        <f t="shared" si="2"/>
        <v>15800</v>
      </c>
    </row>
    <row r="119" spans="19:19" x14ac:dyDescent="0.55000000000000004">
      <c r="S119">
        <f t="shared" si="2"/>
        <v>15900</v>
      </c>
    </row>
    <row r="120" spans="19:19" x14ac:dyDescent="0.55000000000000004">
      <c r="S120">
        <f t="shared" si="2"/>
        <v>16000</v>
      </c>
    </row>
    <row r="121" spans="19:19" x14ac:dyDescent="0.55000000000000004">
      <c r="S121">
        <f t="shared" si="2"/>
        <v>16100</v>
      </c>
    </row>
    <row r="122" spans="19:19" x14ac:dyDescent="0.55000000000000004">
      <c r="S122">
        <f t="shared" si="2"/>
        <v>16200</v>
      </c>
    </row>
    <row r="123" spans="19:19" x14ac:dyDescent="0.55000000000000004">
      <c r="S123">
        <f t="shared" si="2"/>
        <v>16300</v>
      </c>
    </row>
    <row r="124" spans="19:19" x14ac:dyDescent="0.55000000000000004">
      <c r="S124">
        <f t="shared" si="2"/>
        <v>16400</v>
      </c>
    </row>
    <row r="125" spans="19:19" x14ac:dyDescent="0.55000000000000004">
      <c r="S125">
        <f t="shared" si="2"/>
        <v>16500</v>
      </c>
    </row>
    <row r="126" spans="19:19" x14ac:dyDescent="0.55000000000000004">
      <c r="S126">
        <f t="shared" si="2"/>
        <v>16600</v>
      </c>
    </row>
    <row r="127" spans="19:19" x14ac:dyDescent="0.55000000000000004">
      <c r="S127">
        <f t="shared" si="2"/>
        <v>16700</v>
      </c>
    </row>
    <row r="128" spans="19:19" x14ac:dyDescent="0.55000000000000004">
      <c r="S128">
        <f t="shared" si="2"/>
        <v>16800</v>
      </c>
    </row>
    <row r="129" spans="19:19" x14ac:dyDescent="0.55000000000000004">
      <c r="S129">
        <f t="shared" si="2"/>
        <v>16900</v>
      </c>
    </row>
    <row r="130" spans="19:19" x14ac:dyDescent="0.55000000000000004">
      <c r="S130">
        <f t="shared" si="2"/>
        <v>17000</v>
      </c>
    </row>
  </sheetData>
  <dataValidations count="1">
    <dataValidation type="list" allowBlank="1" showInputMessage="1" showErrorMessage="1" sqref="D10" xr:uid="{0CBBC5C9-36BB-424E-92C0-F632C698F48D}">
      <formula1>$S$5:$S$130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76F38-6003-4127-BF38-2737EBAB1F94}">
  <dimension ref="A2:Y22"/>
  <sheetViews>
    <sheetView zoomScale="70" zoomScaleNormal="70" workbookViewId="0">
      <selection activeCell="K24" sqref="K24"/>
    </sheetView>
  </sheetViews>
  <sheetFormatPr defaultRowHeight="14.4" x14ac:dyDescent="0.55000000000000004"/>
  <cols>
    <col min="3" max="3" width="10.7890625" customWidth="1"/>
    <col min="4" max="4" width="9.41796875" bestFit="1" customWidth="1"/>
    <col min="23" max="23" width="9.41796875" bestFit="1" customWidth="1"/>
  </cols>
  <sheetData>
    <row r="2" spans="1:25" x14ac:dyDescent="0.55000000000000004">
      <c r="B2" s="17" t="s">
        <v>22</v>
      </c>
      <c r="G2" t="s">
        <v>29</v>
      </c>
      <c r="H2" s="17" t="s">
        <v>30</v>
      </c>
      <c r="N2" s="17" t="s">
        <v>31</v>
      </c>
      <c r="T2" s="17" t="s">
        <v>32</v>
      </c>
    </row>
    <row r="4" spans="1:25" x14ac:dyDescent="0.55000000000000004">
      <c r="A4" t="s">
        <v>18</v>
      </c>
      <c r="B4" t="s">
        <v>19</v>
      </c>
      <c r="C4" t="s">
        <v>20</v>
      </c>
      <c r="D4" t="s">
        <v>21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M4" t="s">
        <v>7</v>
      </c>
      <c r="N4" t="s">
        <v>8</v>
      </c>
      <c r="O4" t="s">
        <v>9</v>
      </c>
      <c r="P4" t="s">
        <v>10</v>
      </c>
      <c r="Q4" t="s">
        <v>11</v>
      </c>
      <c r="R4" t="s">
        <v>12</v>
      </c>
      <c r="T4" t="s">
        <v>7</v>
      </c>
      <c r="U4" t="s">
        <v>8</v>
      </c>
      <c r="V4" t="s">
        <v>9</v>
      </c>
      <c r="W4" t="s">
        <v>10</v>
      </c>
      <c r="X4" t="s">
        <v>11</v>
      </c>
      <c r="Y4" t="s">
        <v>12</v>
      </c>
    </row>
    <row r="5" spans="1:25" x14ac:dyDescent="0.55000000000000004">
      <c r="A5" s="6">
        <v>4000</v>
      </c>
      <c r="B5" s="6">
        <v>25</v>
      </c>
      <c r="C5">
        <v>21</v>
      </c>
      <c r="D5" s="8">
        <f>0.7457*B5</f>
        <v>18.642500000000002</v>
      </c>
      <c r="F5" s="8">
        <f>'power data'!A5*60*('speed Calc.'!$D$14/'speed Calc.'!$E$14)*('speed Calc.'!$D$4/'speed Calc.'!$E$4)*'speed Calc.'!$D$8*PI()*('speed Calc.'!$D$6/'speed Calc.'!$E$6)/1000</f>
        <v>21.205750411731103</v>
      </c>
      <c r="G5" s="18">
        <f>'power data'!$A5*60*('speed Calc.'!$D$16/'speed Calc.'!$E$16)*('speed Calc.'!$D$4/'speed Calc.'!$E$4)*'speed Calc.'!$D$8*PI()*('speed Calc.'!$D$6/'speed Calc.'!$E$6)/1000</f>
        <v>30.449282642485681</v>
      </c>
      <c r="H5" s="8">
        <f>'power data'!$A5*60*('speed Calc.'!$D$18/'speed Calc.'!$E$18)*('speed Calc.'!$D$4/'speed Calc.'!$E$4)*'speed Calc.'!$D$8*PI()*('speed Calc.'!$D$6/'speed Calc.'!$E$6)/1000</f>
        <v>39.793506945470718</v>
      </c>
      <c r="I5" s="8">
        <f>'power data'!$A5*60*('speed Calc.'!$D$20/'speed Calc.'!$E$20)*('speed Calc.'!$D$4/'speed Calc.'!$E$4)*'speed Calc.'!$D$8*PI()*('speed Calc.'!$D$6/'speed Calc.'!$E$6)/1000</f>
        <v>49.480084294039237</v>
      </c>
      <c r="J5" s="8">
        <f>'power data'!$A5*60*('speed Calc.'!$D$22/'speed Calc.'!$E$22)*('speed Calc.'!$D$4/'speed Calc.'!$E$4)*'speed Calc.'!$D$8*PI()*('speed Calc.'!$D$6/'speed Calc.'!$E$6)/1000</f>
        <v>59.119061753917002</v>
      </c>
      <c r="K5" s="8">
        <f>'power data'!$A5*60*('speed Calc.'!$D$24/'speed Calc.'!$E$24)*('speed Calc.'!$D$4/'speed Calc.'!$E$4)*'speed Calc.'!$D$8*PI()*('speed Calc.'!$D$6/'speed Calc.'!$E$6)/1000</f>
        <v>67.319842576924131</v>
      </c>
      <c r="M5" s="8">
        <f t="shared" ref="M5:M18" si="0">($D5*1000)/(F5*(1000/3600))</f>
        <v>3164.8490950300366</v>
      </c>
      <c r="N5" s="8">
        <f t="shared" ref="N5:N18" si="1">($D5*1000)/(G5*(1000/3600))</f>
        <v>2204.091334038776</v>
      </c>
      <c r="O5" s="8">
        <f t="shared" ref="O5:O18" si="2">($D5*1000)/(H5*(1000/3600))</f>
        <v>1686.5314256410063</v>
      </c>
      <c r="P5" s="8">
        <f t="shared" ref="P5:P18" si="3">($D5*1000)/(I5*(1000/3600))</f>
        <v>1356.3638978700158</v>
      </c>
      <c r="Q5" s="8">
        <f t="shared" ref="Q5:Q18" si="4">($D5*1000)/(J5*(1000/3600))</f>
        <v>1135.2176101738178</v>
      </c>
      <c r="R5" s="8">
        <f t="shared" ref="R5:R18" si="5">($D5*1000)/(K5*(1000/3600))</f>
        <v>996.92746493446168</v>
      </c>
      <c r="T5" s="8">
        <f t="shared" ref="T5:T18" si="6">(0.5*$H$21*$H$20*(F5*1000/3600)*(F5*1000/3600)+(0.02*$H$22*9.81))</f>
        <v>47.699563917700104</v>
      </c>
      <c r="U5" s="8">
        <f t="shared" ref="U5:U18" si="7">(0.5*$H$21*$H$20*(G5*1000/3600)*(G5*1000/3600)+(0.02*$H$22*9.81))</f>
        <v>55.223663015060822</v>
      </c>
      <c r="V5" s="8">
        <f t="shared" ref="V5:V18" si="8">(0.5*$H$21*$H$20*(H5*1000/3600)*(H5*1000/3600)+(0.02*$H$22*9.81))</f>
        <v>65.566719791882832</v>
      </c>
      <c r="W5" s="8">
        <f t="shared" ref="W5:W18" si="9">(0.5*$H$21*$H$20*(I5*1000/3600)*(I5*1000/3600)+(0.02*$H$22*9.81))</f>
        <v>79.193625774145005</v>
      </c>
      <c r="X5" s="8">
        <f t="shared" ref="X5:X18" si="10">(0.5*$H$21*$H$20*(J5*1000/3600)*(J5*1000/3600)+(0.02*$H$22*9.81))</f>
        <v>95.68896602333669</v>
      </c>
      <c r="Y5" s="8">
        <f t="shared" ref="Y5:Y18" si="11">(0.5*$H$21*$H$20*(K5*1000/3600)*(K5*1000/3600)+(0.02*$H$22*9.81))</f>
        <v>112.02850625044195</v>
      </c>
    </row>
    <row r="6" spans="1:25" x14ac:dyDescent="0.55000000000000004">
      <c r="A6" s="6">
        <f t="shared" ref="A6:A17" si="12">A5+500</f>
        <v>4500</v>
      </c>
      <c r="B6" s="6">
        <v>24</v>
      </c>
      <c r="C6">
        <v>27</v>
      </c>
      <c r="D6" s="8">
        <f t="shared" ref="D6:D18" si="13">0.7457*B6</f>
        <v>17.896799999999999</v>
      </c>
      <c r="F6" s="8">
        <f>'power data'!A6*60*('speed Calc.'!$D$14/'speed Calc.'!$E$14)*('speed Calc.'!$D$4/'speed Calc.'!$E$4)*'speed Calc.'!$D$8*PI()*('speed Calc.'!$D$6/'speed Calc.'!$E$6)/1000</f>
        <v>23.856469213197492</v>
      </c>
      <c r="G6" s="18">
        <f>'power data'!$A6*60*('speed Calc.'!$D$16/'speed Calc.'!$E$16)*('speed Calc.'!$D$4/'speed Calc.'!$E$4)*'speed Calc.'!$D$8*PI()*('speed Calc.'!$D$6/'speed Calc.'!$E$6)/1000</f>
        <v>34.255442972796388</v>
      </c>
      <c r="H6" s="8">
        <f>'power data'!$A6*60*('speed Calc.'!$D$18/'speed Calc.'!$E$18)*('speed Calc.'!$D$4/'speed Calc.'!$E$4)*'speed Calc.'!$D$8*PI()*('speed Calc.'!$D$6/'speed Calc.'!$E$6)/1000</f>
        <v>44.767695313654549</v>
      </c>
      <c r="I6" s="8">
        <f>'power data'!$A6*60*('speed Calc.'!$D$20/'speed Calc.'!$E$20)*('speed Calc.'!$D$4/'speed Calc.'!$E$4)*'speed Calc.'!$D$8*PI()*('speed Calc.'!$D$6/'speed Calc.'!$E$6)/1000</f>
        <v>55.665094830794146</v>
      </c>
      <c r="J6" s="8">
        <f>'power data'!$A6*60*('speed Calc.'!$D$22/'speed Calc.'!$E$22)*('speed Calc.'!$D$4/'speed Calc.'!$E$4)*'speed Calc.'!$D$8*PI()*('speed Calc.'!$D$6/'speed Calc.'!$E$6)/1000</f>
        <v>66.508944473156618</v>
      </c>
      <c r="K6" s="8">
        <f>'power data'!$A6*60*('speed Calc.'!$D$24/'speed Calc.'!$E$24)*('speed Calc.'!$D$4/'speed Calc.'!$E$4)*'speed Calc.'!$D$8*PI()*('speed Calc.'!$D$6/'speed Calc.'!$E$6)/1000</f>
        <v>75.734822899039642</v>
      </c>
      <c r="M6" s="8">
        <f t="shared" si="0"/>
        <v>2700.6712277589641</v>
      </c>
      <c r="N6" s="8">
        <f t="shared" si="1"/>
        <v>1880.824605046422</v>
      </c>
      <c r="O6" s="8">
        <f t="shared" si="2"/>
        <v>1439.1734832136585</v>
      </c>
      <c r="P6" s="8">
        <f t="shared" si="3"/>
        <v>1157.4305261824131</v>
      </c>
      <c r="Q6" s="8">
        <f t="shared" si="4"/>
        <v>968.71902734832452</v>
      </c>
      <c r="R6" s="8">
        <f t="shared" si="5"/>
        <v>850.71143674407369</v>
      </c>
      <c r="T6" s="8">
        <f t="shared" si="6"/>
        <v>49.581826208339194</v>
      </c>
      <c r="U6" s="8">
        <f t="shared" si="7"/>
        <v>59.10451412843635</v>
      </c>
      <c r="V6" s="8">
        <f t="shared" si="8"/>
        <v>72.194945361601697</v>
      </c>
      <c r="W6" s="8">
        <f t="shared" si="9"/>
        <v>89.441498245402272</v>
      </c>
      <c r="X6" s="8">
        <f t="shared" si="10"/>
        <v>110.31841324828547</v>
      </c>
      <c r="Y6" s="8">
        <f t="shared" si="11"/>
        <v>130.99814384821559</v>
      </c>
    </row>
    <row r="7" spans="1:25" x14ac:dyDescent="0.55000000000000004">
      <c r="A7" s="6">
        <f t="shared" si="12"/>
        <v>5000</v>
      </c>
      <c r="B7" s="6">
        <v>26</v>
      </c>
      <c r="C7">
        <v>31</v>
      </c>
      <c r="D7" s="8">
        <f t="shared" si="13"/>
        <v>19.388200000000001</v>
      </c>
      <c r="F7" s="8">
        <f>'power data'!A7*60*('speed Calc.'!$D$14/'speed Calc.'!$E$14)*('speed Calc.'!$D$4/'speed Calc.'!$E$4)*'speed Calc.'!$D$8*PI()*('speed Calc.'!$D$6/'speed Calc.'!$E$6)/1000</f>
        <v>26.507188014663875</v>
      </c>
      <c r="G7" s="18">
        <f>'power data'!$A7*60*('speed Calc.'!$D$16/'speed Calc.'!$E$16)*('speed Calc.'!$D$4/'speed Calc.'!$E$4)*'speed Calc.'!$D$8*PI()*('speed Calc.'!$D$6/'speed Calc.'!$E$6)/1000</f>
        <v>38.061603303107105</v>
      </c>
      <c r="H7" s="8">
        <f>'power data'!$A7*60*('speed Calc.'!$D$18/'speed Calc.'!$E$18)*('speed Calc.'!$D$4/'speed Calc.'!$E$4)*'speed Calc.'!$D$8*PI()*('speed Calc.'!$D$6/'speed Calc.'!$E$6)/1000</f>
        <v>49.741883681838388</v>
      </c>
      <c r="I7" s="8">
        <f>'power data'!$A7*60*('speed Calc.'!$D$20/'speed Calc.'!$E$20)*('speed Calc.'!$D$4/'speed Calc.'!$E$4)*'speed Calc.'!$D$8*PI()*('speed Calc.'!$D$6/'speed Calc.'!$E$6)/1000</f>
        <v>61.850105367549055</v>
      </c>
      <c r="J7" s="8">
        <f>'power data'!$A7*60*('speed Calc.'!$D$22/'speed Calc.'!$E$22)*('speed Calc.'!$D$4/'speed Calc.'!$E$4)*'speed Calc.'!$D$8*PI()*('speed Calc.'!$D$6/'speed Calc.'!$E$6)/1000</f>
        <v>73.898827192396269</v>
      </c>
      <c r="K7" s="8">
        <f>'power data'!$A7*60*('speed Calc.'!$D$24/'speed Calc.'!$E$24)*('speed Calc.'!$D$4/'speed Calc.'!$E$4)*'speed Calc.'!$D$8*PI()*('speed Calc.'!$D$6/'speed Calc.'!$E$6)/1000</f>
        <v>84.149803221155167</v>
      </c>
      <c r="M7" s="8">
        <f t="shared" si="0"/>
        <v>2633.1544470649906</v>
      </c>
      <c r="N7" s="8">
        <f t="shared" si="1"/>
        <v>1833.8039899202611</v>
      </c>
      <c r="O7" s="8">
        <f t="shared" si="2"/>
        <v>1403.1941461333172</v>
      </c>
      <c r="P7" s="8">
        <f t="shared" si="3"/>
        <v>1128.4947630278527</v>
      </c>
      <c r="Q7" s="8">
        <f t="shared" si="4"/>
        <v>944.50105166461606</v>
      </c>
      <c r="R7" s="8">
        <f t="shared" si="5"/>
        <v>829.44365082547188</v>
      </c>
      <c r="T7" s="8">
        <f t="shared" si="6"/>
        <v>51.685531121406406</v>
      </c>
      <c r="U7" s="8">
        <f t="shared" si="7"/>
        <v>63.441935961032542</v>
      </c>
      <c r="V7" s="8">
        <f t="shared" si="8"/>
        <v>79.602962174816895</v>
      </c>
      <c r="W7" s="8">
        <f t="shared" si="9"/>
        <v>100.89500277210159</v>
      </c>
      <c r="X7" s="8">
        <f t="shared" si="10"/>
        <v>126.66897191146363</v>
      </c>
      <c r="Y7" s="8">
        <f t="shared" si="11"/>
        <v>152.19950351631553</v>
      </c>
    </row>
    <row r="8" spans="1:25" x14ac:dyDescent="0.55000000000000004">
      <c r="A8" s="6">
        <f t="shared" si="12"/>
        <v>5500</v>
      </c>
      <c r="B8" s="6">
        <v>29</v>
      </c>
      <c r="C8">
        <v>36</v>
      </c>
      <c r="D8" s="8">
        <f t="shared" si="13"/>
        <v>21.625299999999999</v>
      </c>
      <c r="F8" s="8">
        <f>'power data'!A8*60*('speed Calc.'!$D$14/'speed Calc.'!$E$14)*('speed Calc.'!$D$4/'speed Calc.'!$E$4)*'speed Calc.'!$D$8*PI()*('speed Calc.'!$D$6/'speed Calc.'!$E$6)/1000</f>
        <v>29.157906816130264</v>
      </c>
      <c r="G8" s="18">
        <f>'power data'!$A8*60*('speed Calc.'!$D$16/'speed Calc.'!$E$16)*('speed Calc.'!$D$4/'speed Calc.'!$E$4)*'speed Calc.'!$D$8*PI()*('speed Calc.'!$D$6/'speed Calc.'!$E$6)/1000</f>
        <v>41.867763633417809</v>
      </c>
      <c r="H8" s="8">
        <f>'power data'!$A8*60*('speed Calc.'!$D$18/'speed Calc.'!$E$18)*('speed Calc.'!$D$4/'speed Calc.'!$E$4)*'speed Calc.'!$D$8*PI()*('speed Calc.'!$D$6/'speed Calc.'!$E$6)/1000</f>
        <v>54.71607205002222</v>
      </c>
      <c r="I8" s="8">
        <f>'power data'!$A8*60*('speed Calc.'!$D$20/'speed Calc.'!$E$20)*('speed Calc.'!$D$4/'speed Calc.'!$E$4)*'speed Calc.'!$D$8*PI()*('speed Calc.'!$D$6/'speed Calc.'!$E$6)/1000</f>
        <v>68.03511590430395</v>
      </c>
      <c r="J8" s="8">
        <f>'power data'!$A8*60*('speed Calc.'!$D$22/'speed Calc.'!$E$22)*('speed Calc.'!$D$4/'speed Calc.'!$E$4)*'speed Calc.'!$D$8*PI()*('speed Calc.'!$D$6/'speed Calc.'!$E$6)/1000</f>
        <v>81.288709911635891</v>
      </c>
      <c r="K8" s="8">
        <f>'power data'!$A8*60*('speed Calc.'!$D$24/'speed Calc.'!$E$24)*('speed Calc.'!$D$4/'speed Calc.'!$E$4)*'speed Calc.'!$D$8*PI()*('speed Calc.'!$D$6/'speed Calc.'!$E$6)/1000</f>
        <v>92.564783543270678</v>
      </c>
      <c r="M8" s="8">
        <f t="shared" si="0"/>
        <v>2669.9817819889763</v>
      </c>
      <c r="N8" s="8">
        <f t="shared" si="1"/>
        <v>1859.4515981708944</v>
      </c>
      <c r="O8" s="8">
        <f t="shared" si="2"/>
        <v>1422.8192390862307</v>
      </c>
      <c r="P8" s="8">
        <f t="shared" si="3"/>
        <v>1144.2779065667041</v>
      </c>
      <c r="Q8" s="8">
        <f t="shared" si="4"/>
        <v>957.71085658300228</v>
      </c>
      <c r="R8" s="8">
        <f t="shared" si="5"/>
        <v>841.04426132652748</v>
      </c>
      <c r="T8" s="8">
        <f t="shared" si="6"/>
        <v>54.010678656901753</v>
      </c>
      <c r="U8" s="8">
        <f t="shared" si="7"/>
        <v>68.23592851284937</v>
      </c>
      <c r="V8" s="8">
        <f t="shared" si="8"/>
        <v>87.790770231528441</v>
      </c>
      <c r="W8" s="8">
        <f t="shared" si="9"/>
        <v>113.55413935424289</v>
      </c>
      <c r="X8" s="8">
        <f t="shared" si="10"/>
        <v>144.74064201287098</v>
      </c>
      <c r="Y8" s="8">
        <f t="shared" si="11"/>
        <v>175.6325852547418</v>
      </c>
    </row>
    <row r="9" spans="1:25" x14ac:dyDescent="0.55000000000000004">
      <c r="A9" s="6">
        <f t="shared" si="12"/>
        <v>6000</v>
      </c>
      <c r="B9" s="6">
        <v>34</v>
      </c>
      <c r="C9">
        <v>37.5</v>
      </c>
      <c r="D9" s="8">
        <f t="shared" si="13"/>
        <v>25.3538</v>
      </c>
      <c r="F9" s="8">
        <f>'power data'!A9*60*('speed Calc.'!$D$14/'speed Calc.'!$E$14)*('speed Calc.'!$D$4/'speed Calc.'!$E$4)*'speed Calc.'!$D$8*PI()*('speed Calc.'!$D$6/'speed Calc.'!$E$6)/1000</f>
        <v>31.808625617596654</v>
      </c>
      <c r="G9" s="18">
        <f>'power data'!$A9*60*('speed Calc.'!$D$16/'speed Calc.'!$E$16)*('speed Calc.'!$D$4/'speed Calc.'!$E$4)*'speed Calc.'!$D$8*PI()*('speed Calc.'!$D$6/'speed Calc.'!$E$6)/1000</f>
        <v>45.673923963728519</v>
      </c>
      <c r="H9" s="8">
        <f>'power data'!$A9*60*('speed Calc.'!$D$18/'speed Calc.'!$E$18)*('speed Calc.'!$D$4/'speed Calc.'!$E$4)*'speed Calc.'!$D$8*PI()*('speed Calc.'!$D$6/'speed Calc.'!$E$6)/1000</f>
        <v>59.690260418206059</v>
      </c>
      <c r="I9" s="8">
        <f>'power data'!$A9*60*('speed Calc.'!$D$20/'speed Calc.'!$E$20)*('speed Calc.'!$D$4/'speed Calc.'!$E$4)*'speed Calc.'!$D$8*PI()*('speed Calc.'!$D$6/'speed Calc.'!$E$6)/1000</f>
        <v>74.220126441058852</v>
      </c>
      <c r="J9" s="8">
        <f>'power data'!$A9*60*('speed Calc.'!$D$22/'speed Calc.'!$E$22)*('speed Calc.'!$D$4/'speed Calc.'!$E$4)*'speed Calc.'!$D$8*PI()*('speed Calc.'!$D$6/'speed Calc.'!$E$6)/1000</f>
        <v>88.678592630875528</v>
      </c>
      <c r="K9" s="8">
        <f>'power data'!$A9*60*('speed Calc.'!$D$24/'speed Calc.'!$E$24)*('speed Calc.'!$D$4/'speed Calc.'!$E$4)*'speed Calc.'!$D$8*PI()*('speed Calc.'!$D$6/'speed Calc.'!$E$6)/1000</f>
        <v>100.97976386538619</v>
      </c>
      <c r="M9" s="8">
        <f t="shared" si="0"/>
        <v>2869.4631794938991</v>
      </c>
      <c r="N9" s="8">
        <f t="shared" si="1"/>
        <v>1998.3761428618232</v>
      </c>
      <c r="O9" s="8">
        <f t="shared" si="2"/>
        <v>1529.1218259145123</v>
      </c>
      <c r="P9" s="8">
        <f t="shared" si="3"/>
        <v>1229.7699340688141</v>
      </c>
      <c r="Q9" s="8">
        <f t="shared" si="4"/>
        <v>1029.2639665575944</v>
      </c>
      <c r="R9" s="8">
        <f t="shared" si="5"/>
        <v>903.88090154057852</v>
      </c>
      <c r="T9" s="8">
        <f t="shared" si="6"/>
        <v>56.557268814825235</v>
      </c>
      <c r="U9" s="8">
        <f t="shared" si="7"/>
        <v>73.486491783886862</v>
      </c>
      <c r="V9" s="8">
        <f t="shared" si="8"/>
        <v>96.758369531736349</v>
      </c>
      <c r="W9" s="8">
        <f t="shared" si="9"/>
        <v>127.41890799182625</v>
      </c>
      <c r="X9" s="8">
        <f t="shared" si="10"/>
        <v>164.5334235525076</v>
      </c>
      <c r="Y9" s="8">
        <f t="shared" si="11"/>
        <v>201.29738906349434</v>
      </c>
    </row>
    <row r="10" spans="1:25" x14ac:dyDescent="0.55000000000000004">
      <c r="A10" s="6">
        <f t="shared" si="12"/>
        <v>6500</v>
      </c>
      <c r="B10" s="6">
        <v>36</v>
      </c>
      <c r="C10">
        <v>37</v>
      </c>
      <c r="D10" s="8">
        <f t="shared" si="13"/>
        <v>26.845200000000002</v>
      </c>
      <c r="F10" s="8">
        <f>'power data'!A10*60*('speed Calc.'!$D$14/'speed Calc.'!$E$14)*('speed Calc.'!$D$4/'speed Calc.'!$E$4)*'speed Calc.'!$D$8*PI()*('speed Calc.'!$D$6/'speed Calc.'!$E$6)/1000</f>
        <v>34.459344419063036</v>
      </c>
      <c r="G10" s="18">
        <f>'power data'!$A10*60*('speed Calc.'!$D$16/'speed Calc.'!$E$16)*('speed Calc.'!$D$4/'speed Calc.'!$E$4)*'speed Calc.'!$D$8*PI()*('speed Calc.'!$D$6/'speed Calc.'!$E$6)/1000</f>
        <v>49.480084294039237</v>
      </c>
      <c r="H10" s="8">
        <f>'power data'!$A10*60*('speed Calc.'!$D$18/'speed Calc.'!$E$18)*('speed Calc.'!$D$4/'speed Calc.'!$E$4)*'speed Calc.'!$D$8*PI()*('speed Calc.'!$D$6/'speed Calc.'!$E$6)/1000</f>
        <v>64.664448786389897</v>
      </c>
      <c r="I10" s="8">
        <f>'power data'!$A10*60*('speed Calc.'!$D$20/'speed Calc.'!$E$20)*('speed Calc.'!$D$4/'speed Calc.'!$E$4)*'speed Calc.'!$D$8*PI()*('speed Calc.'!$D$6/'speed Calc.'!$E$6)/1000</f>
        <v>80.405136977813754</v>
      </c>
      <c r="J10" s="8">
        <f>'power data'!$A10*60*('speed Calc.'!$D$22/'speed Calc.'!$E$22)*('speed Calc.'!$D$4/'speed Calc.'!$E$4)*'speed Calc.'!$D$8*PI()*('speed Calc.'!$D$6/'speed Calc.'!$E$6)/1000</f>
        <v>96.068475350115122</v>
      </c>
      <c r="K10" s="8">
        <f>'power data'!$A10*60*('speed Calc.'!$D$24/'speed Calc.'!$E$24)*('speed Calc.'!$D$4/'speed Calc.'!$E$4)*'speed Calc.'!$D$8*PI()*('speed Calc.'!$D$6/'speed Calc.'!$E$6)/1000</f>
        <v>109.3947441875017</v>
      </c>
      <c r="M10" s="8">
        <f t="shared" si="0"/>
        <v>2804.5431980573867</v>
      </c>
      <c r="N10" s="8">
        <f t="shared" si="1"/>
        <v>1953.1640129328225</v>
      </c>
      <c r="O10" s="8">
        <f t="shared" si="2"/>
        <v>1494.526309491107</v>
      </c>
      <c r="P10" s="8">
        <f t="shared" si="3"/>
        <v>1201.9470848817371</v>
      </c>
      <c r="Q10" s="8">
        <f t="shared" si="4"/>
        <v>1005.9774514771061</v>
      </c>
      <c r="R10" s="8">
        <f t="shared" si="5"/>
        <v>883.43110738807673</v>
      </c>
      <c r="T10" s="8">
        <f t="shared" si="6"/>
        <v>59.325301595176839</v>
      </c>
      <c r="U10" s="8">
        <f t="shared" si="7"/>
        <v>79.193625774145005</v>
      </c>
      <c r="V10" s="8">
        <f t="shared" si="8"/>
        <v>106.50576007544055</v>
      </c>
      <c r="W10" s="8">
        <f t="shared" si="9"/>
        <v>142.48930868485164</v>
      </c>
      <c r="X10" s="8">
        <f t="shared" si="10"/>
        <v>186.04731653037345</v>
      </c>
      <c r="Y10" s="8">
        <f t="shared" si="11"/>
        <v>229.1939149425732</v>
      </c>
    </row>
    <row r="11" spans="1:25" x14ac:dyDescent="0.55000000000000004">
      <c r="A11" s="6">
        <f t="shared" si="12"/>
        <v>7000</v>
      </c>
      <c r="B11" s="6">
        <v>42</v>
      </c>
      <c r="C11">
        <v>42</v>
      </c>
      <c r="D11" s="8">
        <f t="shared" si="13"/>
        <v>31.319400000000002</v>
      </c>
      <c r="F11" s="8">
        <f>'power data'!A11*60*('speed Calc.'!$D$14/'speed Calc.'!$E$14)*('speed Calc.'!$D$4/'speed Calc.'!$E$4)*'speed Calc.'!$D$8*PI()*('speed Calc.'!$D$6/'speed Calc.'!$E$6)/1000</f>
        <v>37.110063220529426</v>
      </c>
      <c r="G11" s="18">
        <f>'power data'!$A11*60*('speed Calc.'!$D$16/'speed Calc.'!$E$16)*('speed Calc.'!$D$4/'speed Calc.'!$E$4)*'speed Calc.'!$D$8*PI()*('speed Calc.'!$D$6/'speed Calc.'!$E$6)/1000</f>
        <v>53.286244624349941</v>
      </c>
      <c r="H11" s="8">
        <f>'power data'!$A11*60*('speed Calc.'!$D$18/'speed Calc.'!$E$18)*('speed Calc.'!$D$4/'speed Calc.'!$E$4)*'speed Calc.'!$D$8*PI()*('speed Calc.'!$D$6/'speed Calc.'!$E$6)/1000</f>
        <v>69.638637154573743</v>
      </c>
      <c r="I11" s="8">
        <f>'power data'!$A11*60*('speed Calc.'!$D$20/'speed Calc.'!$E$20)*('speed Calc.'!$D$4/'speed Calc.'!$E$4)*'speed Calc.'!$D$8*PI()*('speed Calc.'!$D$6/'speed Calc.'!$E$6)/1000</f>
        <v>86.59014751456867</v>
      </c>
      <c r="J11" s="8">
        <f>'power data'!$A11*60*('speed Calc.'!$D$22/'speed Calc.'!$E$22)*('speed Calc.'!$D$4/'speed Calc.'!$E$4)*'speed Calc.'!$D$8*PI()*('speed Calc.'!$D$6/'speed Calc.'!$E$6)/1000</f>
        <v>103.45835806935476</v>
      </c>
      <c r="K11" s="8">
        <f>'power data'!$A11*60*('speed Calc.'!$D$24/'speed Calc.'!$E$24)*('speed Calc.'!$D$4/'speed Calc.'!$E$4)*'speed Calc.'!$D$8*PI()*('speed Calc.'!$D$6/'speed Calc.'!$E$6)/1000</f>
        <v>117.80972450961723</v>
      </c>
      <c r="M11" s="8">
        <f t="shared" si="0"/>
        <v>3038.2551312288351</v>
      </c>
      <c r="N11" s="8">
        <f t="shared" si="1"/>
        <v>2115.9276806772245</v>
      </c>
      <c r="O11" s="8">
        <f t="shared" si="2"/>
        <v>1619.0701686153661</v>
      </c>
      <c r="P11" s="8">
        <f t="shared" si="3"/>
        <v>1302.1093419552149</v>
      </c>
      <c r="Q11" s="8">
        <f t="shared" si="4"/>
        <v>1089.8089057668649</v>
      </c>
      <c r="R11" s="8">
        <f t="shared" si="5"/>
        <v>957.05036633708301</v>
      </c>
      <c r="T11" s="8">
        <f t="shared" si="6"/>
        <v>62.314776997956557</v>
      </c>
      <c r="U11" s="8">
        <f t="shared" si="7"/>
        <v>85.357330483623784</v>
      </c>
      <c r="V11" s="8">
        <f t="shared" si="8"/>
        <v>117.03294186264112</v>
      </c>
      <c r="W11" s="8">
        <f t="shared" si="9"/>
        <v>158.76534143331907</v>
      </c>
      <c r="X11" s="8">
        <f t="shared" si="10"/>
        <v>209.28232094646864</v>
      </c>
      <c r="Y11" s="8">
        <f t="shared" si="11"/>
        <v>259.32216289197845</v>
      </c>
    </row>
    <row r="12" spans="1:25" x14ac:dyDescent="0.55000000000000004">
      <c r="A12" s="6">
        <f t="shared" si="12"/>
        <v>7500</v>
      </c>
      <c r="B12" s="6">
        <v>44</v>
      </c>
      <c r="C12">
        <v>41</v>
      </c>
      <c r="D12" s="8">
        <f t="shared" si="13"/>
        <v>32.8108</v>
      </c>
      <c r="F12" s="8">
        <f>'power data'!A12*60*('speed Calc.'!$D$14/'speed Calc.'!$E$14)*('speed Calc.'!$D$4/'speed Calc.'!$E$4)*'speed Calc.'!$D$8*PI()*('speed Calc.'!$D$6/'speed Calc.'!$E$6)/1000</f>
        <v>39.760782021995816</v>
      </c>
      <c r="G12" s="18">
        <f>'power data'!$A12*60*('speed Calc.'!$D$16/'speed Calc.'!$E$16)*('speed Calc.'!$D$4/'speed Calc.'!$E$4)*'speed Calc.'!$D$8*PI()*('speed Calc.'!$D$6/'speed Calc.'!$E$6)/1000</f>
        <v>57.092404954660665</v>
      </c>
      <c r="H12" s="8">
        <f>'power data'!$A12*60*('speed Calc.'!$D$18/'speed Calc.'!$E$18)*('speed Calc.'!$D$4/'speed Calc.'!$E$4)*'speed Calc.'!$D$8*PI()*('speed Calc.'!$D$6/'speed Calc.'!$E$6)/1000</f>
        <v>74.612825522757589</v>
      </c>
      <c r="I12" s="8">
        <f>'power data'!$A12*60*('speed Calc.'!$D$20/'speed Calc.'!$E$20)*('speed Calc.'!$D$4/'speed Calc.'!$E$4)*'speed Calc.'!$D$8*PI()*('speed Calc.'!$D$6/'speed Calc.'!$E$6)/1000</f>
        <v>92.775158051323572</v>
      </c>
      <c r="J12" s="8">
        <f>'power data'!$A12*60*('speed Calc.'!$D$22/'speed Calc.'!$E$22)*('speed Calc.'!$D$4/'speed Calc.'!$E$4)*'speed Calc.'!$D$8*PI()*('speed Calc.'!$D$6/'speed Calc.'!$E$6)/1000</f>
        <v>110.84824078859438</v>
      </c>
      <c r="K12" s="8">
        <f>'power data'!$A12*60*('speed Calc.'!$D$24/'speed Calc.'!$E$24)*('speed Calc.'!$D$4/'speed Calc.'!$E$4)*'speed Calc.'!$D$8*PI()*('speed Calc.'!$D$6/'speed Calc.'!$E$6)/1000</f>
        <v>126.22470483173274</v>
      </c>
      <c r="M12" s="8">
        <f t="shared" si="0"/>
        <v>2970.7383505348607</v>
      </c>
      <c r="N12" s="8">
        <f t="shared" si="1"/>
        <v>2068.9070655510636</v>
      </c>
      <c r="O12" s="8">
        <f t="shared" si="2"/>
        <v>1583.0908315350243</v>
      </c>
      <c r="P12" s="8">
        <f t="shared" si="3"/>
        <v>1273.1735788006547</v>
      </c>
      <c r="Q12" s="8">
        <f t="shared" si="4"/>
        <v>1065.5909300831568</v>
      </c>
      <c r="R12" s="8">
        <f t="shared" si="5"/>
        <v>935.78258041848119</v>
      </c>
      <c r="T12" s="8">
        <f t="shared" si="6"/>
        <v>65.525695023164431</v>
      </c>
      <c r="U12" s="8">
        <f t="shared" si="7"/>
        <v>91.977605912323241</v>
      </c>
      <c r="V12" s="8">
        <f t="shared" si="8"/>
        <v>128.33991489333803</v>
      </c>
      <c r="W12" s="8">
        <f t="shared" si="9"/>
        <v>176.2470062372285</v>
      </c>
      <c r="X12" s="8">
        <f t="shared" si="10"/>
        <v>234.23843680079307</v>
      </c>
      <c r="Y12" s="8">
        <f t="shared" si="11"/>
        <v>291.68213291170997</v>
      </c>
    </row>
    <row r="13" spans="1:25" x14ac:dyDescent="0.55000000000000004">
      <c r="A13" s="6">
        <f t="shared" si="12"/>
        <v>8000</v>
      </c>
      <c r="B13" s="6">
        <v>47</v>
      </c>
      <c r="C13">
        <v>41</v>
      </c>
      <c r="D13" s="8">
        <f t="shared" si="13"/>
        <v>35.047899999999998</v>
      </c>
      <c r="F13" s="8">
        <f>'power data'!A13*60*('speed Calc.'!$D$14/'speed Calc.'!$E$14)*('speed Calc.'!$D$4/'speed Calc.'!$E$4)*'speed Calc.'!$D$8*PI()*('speed Calc.'!$D$6/'speed Calc.'!$E$6)/1000</f>
        <v>42.411500823462205</v>
      </c>
      <c r="G13" s="18">
        <f>'power data'!$A13*60*('speed Calc.'!$D$16/'speed Calc.'!$E$16)*('speed Calc.'!$D$4/'speed Calc.'!$E$4)*'speed Calc.'!$D$8*PI()*('speed Calc.'!$D$6/'speed Calc.'!$E$6)/1000</f>
        <v>60.898565284971362</v>
      </c>
      <c r="H13" s="8">
        <f>'power data'!$A13*60*('speed Calc.'!$D$18/'speed Calc.'!$E$18)*('speed Calc.'!$D$4/'speed Calc.'!$E$4)*'speed Calc.'!$D$8*PI()*('speed Calc.'!$D$6/'speed Calc.'!$E$6)/1000</f>
        <v>79.587013890941435</v>
      </c>
      <c r="I13" s="8">
        <f>'power data'!$A13*60*('speed Calc.'!$D$20/'speed Calc.'!$E$20)*('speed Calc.'!$D$4/'speed Calc.'!$E$4)*'speed Calc.'!$D$8*PI()*('speed Calc.'!$D$6/'speed Calc.'!$E$6)/1000</f>
        <v>98.960168588078474</v>
      </c>
      <c r="J13" s="8">
        <f>'power data'!$A13*60*('speed Calc.'!$D$22/'speed Calc.'!$E$22)*('speed Calc.'!$D$4/'speed Calc.'!$E$4)*'speed Calc.'!$D$8*PI()*('speed Calc.'!$D$6/'speed Calc.'!$E$6)/1000</f>
        <v>118.238123507834</v>
      </c>
      <c r="K13" s="8">
        <f>'power data'!$A13*60*('speed Calc.'!$D$24/'speed Calc.'!$E$24)*('speed Calc.'!$D$4/'speed Calc.'!$E$4)*'speed Calc.'!$D$8*PI()*('speed Calc.'!$D$6/'speed Calc.'!$E$6)/1000</f>
        <v>134.63968515384826</v>
      </c>
      <c r="M13" s="8">
        <f t="shared" si="0"/>
        <v>2974.958149328234</v>
      </c>
      <c r="N13" s="8">
        <f t="shared" si="1"/>
        <v>2071.845853996449</v>
      </c>
      <c r="O13" s="8">
        <f t="shared" si="2"/>
        <v>1585.3395401025457</v>
      </c>
      <c r="P13" s="8">
        <f t="shared" si="3"/>
        <v>1274.9820639978147</v>
      </c>
      <c r="Q13" s="8">
        <f t="shared" si="4"/>
        <v>1067.1045535633884</v>
      </c>
      <c r="R13" s="8">
        <f t="shared" si="5"/>
        <v>937.11181703839384</v>
      </c>
      <c r="T13" s="8">
        <f t="shared" si="6"/>
        <v>68.95805567080042</v>
      </c>
      <c r="U13" s="8">
        <f t="shared" si="7"/>
        <v>99.054452060243293</v>
      </c>
      <c r="V13" s="8">
        <f t="shared" si="8"/>
        <v>140.42667916753132</v>
      </c>
      <c r="W13" s="8">
        <f t="shared" si="9"/>
        <v>194.93430309658004</v>
      </c>
      <c r="X13" s="8">
        <f t="shared" si="10"/>
        <v>260.91566409334678</v>
      </c>
      <c r="Y13" s="8">
        <f t="shared" si="11"/>
        <v>326.27382500176782</v>
      </c>
    </row>
    <row r="14" spans="1:25" x14ac:dyDescent="0.55000000000000004">
      <c r="A14" s="6">
        <f t="shared" si="12"/>
        <v>8500</v>
      </c>
      <c r="B14" s="6">
        <v>49</v>
      </c>
      <c r="C14">
        <v>40</v>
      </c>
      <c r="D14" s="8">
        <f t="shared" si="13"/>
        <v>36.539300000000004</v>
      </c>
      <c r="F14" s="8">
        <f>'power data'!A14*60*('speed Calc.'!$D$14/'speed Calc.'!$E$14)*('speed Calc.'!$D$4/'speed Calc.'!$E$4)*'speed Calc.'!$D$8*PI()*('speed Calc.'!$D$6/'speed Calc.'!$E$6)/1000</f>
        <v>45.062219624928595</v>
      </c>
      <c r="G14" s="18">
        <f>'power data'!$A14*60*('speed Calc.'!$D$16/'speed Calc.'!$E$16)*('speed Calc.'!$D$4/'speed Calc.'!$E$4)*'speed Calc.'!$D$8*PI()*('speed Calc.'!$D$6/'speed Calc.'!$E$6)/1000</f>
        <v>64.704725615282086</v>
      </c>
      <c r="H14" s="8">
        <f>'power data'!$A14*60*('speed Calc.'!$D$18/'speed Calc.'!$E$18)*('speed Calc.'!$D$4/'speed Calc.'!$E$4)*'speed Calc.'!$D$8*PI()*('speed Calc.'!$D$6/'speed Calc.'!$E$6)/1000</f>
        <v>84.561202259125253</v>
      </c>
      <c r="I14" s="8">
        <f>'power data'!$A14*60*('speed Calc.'!$D$20/'speed Calc.'!$E$20)*('speed Calc.'!$D$4/'speed Calc.'!$E$4)*'speed Calc.'!$D$8*PI()*('speed Calc.'!$D$6/'speed Calc.'!$E$6)/1000</f>
        <v>105.14517912483339</v>
      </c>
      <c r="J14" s="8">
        <f>'power data'!$A14*60*('speed Calc.'!$D$22/'speed Calc.'!$E$22)*('speed Calc.'!$D$4/'speed Calc.'!$E$4)*'speed Calc.'!$D$8*PI()*('speed Calc.'!$D$6/'speed Calc.'!$E$6)/1000</f>
        <v>125.62800622707364</v>
      </c>
      <c r="K14" s="8">
        <f>'power data'!$A14*60*('speed Calc.'!$D$24/'speed Calc.'!$E$24)*('speed Calc.'!$D$4/'speed Calc.'!$E$4)*'speed Calc.'!$D$8*PI()*('speed Calc.'!$D$6/'speed Calc.'!$E$6)/1000</f>
        <v>143.05466547596376</v>
      </c>
      <c r="M14" s="8">
        <f t="shared" si="0"/>
        <v>2919.1078711806454</v>
      </c>
      <c r="N14" s="8">
        <f t="shared" si="1"/>
        <v>2032.9501245722352</v>
      </c>
      <c r="O14" s="8">
        <f t="shared" si="2"/>
        <v>1555.5772208265282</v>
      </c>
      <c r="P14" s="8">
        <f t="shared" si="3"/>
        <v>1251.0462305059907</v>
      </c>
      <c r="Q14" s="8">
        <f t="shared" si="4"/>
        <v>1047.0713016191446</v>
      </c>
      <c r="R14" s="8">
        <f t="shared" si="5"/>
        <v>919.51897942190351</v>
      </c>
      <c r="T14" s="8">
        <f t="shared" si="6"/>
        <v>72.611858940864522</v>
      </c>
      <c r="U14" s="8">
        <f t="shared" si="7"/>
        <v>106.58786892738408</v>
      </c>
      <c r="V14" s="8">
        <f t="shared" si="8"/>
        <v>153.29323468522082</v>
      </c>
      <c r="W14" s="8">
        <f t="shared" si="9"/>
        <v>214.82723201137355</v>
      </c>
      <c r="X14" s="8">
        <f t="shared" si="10"/>
        <v>289.31400282412977</v>
      </c>
      <c r="Y14" s="8">
        <f t="shared" si="11"/>
        <v>363.09723916215188</v>
      </c>
    </row>
    <row r="15" spans="1:25" x14ac:dyDescent="0.55000000000000004">
      <c r="A15" s="6">
        <f t="shared" si="12"/>
        <v>9000</v>
      </c>
      <c r="B15" s="6">
        <v>50</v>
      </c>
      <c r="C15">
        <v>39</v>
      </c>
      <c r="D15" s="8">
        <f t="shared" si="13"/>
        <v>37.285000000000004</v>
      </c>
      <c r="F15" s="8">
        <f>'power data'!A15*60*('speed Calc.'!$D$14/'speed Calc.'!$E$14)*('speed Calc.'!$D$4/'speed Calc.'!$E$4)*'speed Calc.'!$D$8*PI()*('speed Calc.'!$D$6/'speed Calc.'!$E$6)/1000</f>
        <v>47.712938426394985</v>
      </c>
      <c r="G15" s="18">
        <f>'power data'!$A15*60*('speed Calc.'!$D$16/'speed Calc.'!$E$16)*('speed Calc.'!$D$4/'speed Calc.'!$E$4)*'speed Calc.'!$D$8*PI()*('speed Calc.'!$D$6/'speed Calc.'!$E$6)/1000</f>
        <v>68.510885945592776</v>
      </c>
      <c r="H15" s="8">
        <f>'power data'!$A15*60*('speed Calc.'!$D$18/'speed Calc.'!$E$18)*('speed Calc.'!$D$4/'speed Calc.'!$E$4)*'speed Calc.'!$D$8*PI()*('speed Calc.'!$D$6/'speed Calc.'!$E$6)/1000</f>
        <v>89.535390627309098</v>
      </c>
      <c r="I15" s="8">
        <f>'power data'!$A15*60*('speed Calc.'!$D$20/'speed Calc.'!$E$20)*('speed Calc.'!$D$4/'speed Calc.'!$E$4)*'speed Calc.'!$D$8*PI()*('speed Calc.'!$D$6/'speed Calc.'!$E$6)/1000</f>
        <v>111.33018966158829</v>
      </c>
      <c r="J15" s="8">
        <f>'power data'!$A15*60*('speed Calc.'!$D$22/'speed Calc.'!$E$22)*('speed Calc.'!$D$4/'speed Calc.'!$E$4)*'speed Calc.'!$D$8*PI()*('speed Calc.'!$D$6/'speed Calc.'!$E$6)/1000</f>
        <v>133.01788894631324</v>
      </c>
      <c r="K15" s="8">
        <f>'power data'!$A15*60*('speed Calc.'!$D$24/'speed Calc.'!$E$24)*('speed Calc.'!$D$4/'speed Calc.'!$E$4)*'speed Calc.'!$D$8*PI()*('speed Calc.'!$D$6/'speed Calc.'!$E$6)/1000</f>
        <v>151.46964579807928</v>
      </c>
      <c r="M15" s="8">
        <f t="shared" si="0"/>
        <v>2813.1991955822546</v>
      </c>
      <c r="N15" s="8">
        <f t="shared" si="1"/>
        <v>1959.1922969233567</v>
      </c>
      <c r="O15" s="8">
        <f t="shared" si="2"/>
        <v>1499.139045014228</v>
      </c>
      <c r="P15" s="8">
        <f t="shared" si="3"/>
        <v>1205.6567981066805</v>
      </c>
      <c r="Q15" s="8">
        <f t="shared" si="4"/>
        <v>1009.0823201545049</v>
      </c>
      <c r="R15" s="8">
        <f t="shared" si="5"/>
        <v>886.15774660841032</v>
      </c>
      <c r="T15" s="8">
        <f t="shared" si="6"/>
        <v>76.487104833356767</v>
      </c>
      <c r="U15" s="8">
        <f t="shared" si="7"/>
        <v>114.57785651374542</v>
      </c>
      <c r="V15" s="8">
        <f t="shared" si="8"/>
        <v>166.93958144640678</v>
      </c>
      <c r="W15" s="8">
        <f t="shared" si="9"/>
        <v>235.92579298160911</v>
      </c>
      <c r="X15" s="8">
        <f t="shared" si="10"/>
        <v>319.43345299314188</v>
      </c>
      <c r="Y15" s="8">
        <f t="shared" si="11"/>
        <v>402.15237539286244</v>
      </c>
    </row>
    <row r="16" spans="1:25" x14ac:dyDescent="0.55000000000000004">
      <c r="A16" s="6">
        <f t="shared" si="12"/>
        <v>9500</v>
      </c>
      <c r="B16" s="6">
        <v>52</v>
      </c>
      <c r="C16">
        <v>38</v>
      </c>
      <c r="D16" s="8">
        <f t="shared" si="13"/>
        <v>38.776400000000002</v>
      </c>
      <c r="F16" s="8">
        <f>'power data'!A16*60*('speed Calc.'!$D$14/'speed Calc.'!$E$14)*('speed Calc.'!$D$4/'speed Calc.'!$E$4)*'speed Calc.'!$D$8*PI()*('speed Calc.'!$D$6/'speed Calc.'!$E$6)/1000</f>
        <v>50.363657227861374</v>
      </c>
      <c r="G16" s="18">
        <f>'power data'!$A16*60*('speed Calc.'!$D$16/'speed Calc.'!$E$16)*('speed Calc.'!$D$4/'speed Calc.'!$E$4)*'speed Calc.'!$D$8*PI()*('speed Calc.'!$D$6/'speed Calc.'!$E$6)/1000</f>
        <v>72.317046275903493</v>
      </c>
      <c r="H16" s="8">
        <f>'power data'!$A16*60*('speed Calc.'!$D$18/'speed Calc.'!$E$18)*('speed Calc.'!$D$4/'speed Calc.'!$E$4)*'speed Calc.'!$D$8*PI()*('speed Calc.'!$D$6/'speed Calc.'!$E$6)/1000</f>
        <v>94.509578995492944</v>
      </c>
      <c r="I16" s="8">
        <f>'power data'!$A16*60*('speed Calc.'!$D$20/'speed Calc.'!$E$20)*('speed Calc.'!$D$4/'speed Calc.'!$E$4)*'speed Calc.'!$D$8*PI()*('speed Calc.'!$D$6/'speed Calc.'!$E$6)/1000</f>
        <v>117.51520019834319</v>
      </c>
      <c r="J16" s="8">
        <f>'power data'!$A16*60*('speed Calc.'!$D$22/'speed Calc.'!$E$22)*('speed Calc.'!$D$4/'speed Calc.'!$E$4)*'speed Calc.'!$D$8*PI()*('speed Calc.'!$D$6/'speed Calc.'!$E$6)/1000</f>
        <v>140.40777166555293</v>
      </c>
      <c r="K16" s="8">
        <f>'power data'!$A16*60*('speed Calc.'!$D$24/'speed Calc.'!$E$24)*('speed Calc.'!$D$4/'speed Calc.'!$E$4)*'speed Calc.'!$D$8*PI()*('speed Calc.'!$D$6/'speed Calc.'!$E$6)/1000</f>
        <v>159.88462612019478</v>
      </c>
      <c r="M16" s="8">
        <f t="shared" si="0"/>
        <v>2771.7415232263052</v>
      </c>
      <c r="N16" s="8">
        <f t="shared" si="1"/>
        <v>1930.3199893897488</v>
      </c>
      <c r="O16" s="8">
        <f t="shared" si="2"/>
        <v>1477.046469614018</v>
      </c>
      <c r="P16" s="8">
        <f t="shared" si="3"/>
        <v>1187.8892242398451</v>
      </c>
      <c r="Q16" s="8">
        <f t="shared" si="4"/>
        <v>994.21163333117454</v>
      </c>
      <c r="R16" s="8">
        <f t="shared" si="5"/>
        <v>873.09857981628647</v>
      </c>
      <c r="T16" s="8">
        <f t="shared" si="6"/>
        <v>80.583793348277155</v>
      </c>
      <c r="U16" s="8">
        <f t="shared" si="7"/>
        <v>123.02441481932749</v>
      </c>
      <c r="V16" s="8">
        <f t="shared" si="8"/>
        <v>181.36571945108909</v>
      </c>
      <c r="W16" s="8">
        <f t="shared" si="9"/>
        <v>258.2299860072867</v>
      </c>
      <c r="X16" s="8">
        <f t="shared" si="10"/>
        <v>351.27401460038368</v>
      </c>
      <c r="Y16" s="8">
        <f t="shared" si="11"/>
        <v>443.43923369389898</v>
      </c>
    </row>
    <row r="17" spans="1:25" x14ac:dyDescent="0.55000000000000004">
      <c r="A17" s="6">
        <f t="shared" si="12"/>
        <v>10000</v>
      </c>
      <c r="B17" s="6">
        <v>53</v>
      </c>
      <c r="C17">
        <v>37</v>
      </c>
      <c r="D17" s="8">
        <f t="shared" si="13"/>
        <v>39.522100000000002</v>
      </c>
      <c r="F17" s="8">
        <f>'power data'!A17*60*('speed Calc.'!$D$14/'speed Calc.'!$E$14)*('speed Calc.'!$D$4/'speed Calc.'!$E$4)*'speed Calc.'!$D$8*PI()*('speed Calc.'!$D$6/'speed Calc.'!$E$6)/1000</f>
        <v>53.01437602932775</v>
      </c>
      <c r="G17" s="18">
        <f>'power data'!$A17*60*('speed Calc.'!$D$16/'speed Calc.'!$E$16)*('speed Calc.'!$D$4/'speed Calc.'!$E$4)*'speed Calc.'!$D$8*PI()*('speed Calc.'!$D$6/'speed Calc.'!$E$6)/1000</f>
        <v>76.123206606214211</v>
      </c>
      <c r="H17" s="8">
        <f>'power data'!$A17*60*('speed Calc.'!$D$18/'speed Calc.'!$E$18)*('speed Calc.'!$D$4/'speed Calc.'!$E$4)*'speed Calc.'!$D$8*PI()*('speed Calc.'!$D$6/'speed Calc.'!$E$6)/1000</f>
        <v>99.483767363676776</v>
      </c>
      <c r="I17" s="8">
        <f>'power data'!$A17*60*('speed Calc.'!$D$20/'speed Calc.'!$E$20)*('speed Calc.'!$D$4/'speed Calc.'!$E$4)*'speed Calc.'!$D$8*PI()*('speed Calc.'!$D$6/'speed Calc.'!$E$6)/1000</f>
        <v>123.70021073509811</v>
      </c>
      <c r="J17" s="8">
        <f>'power data'!$A17*60*('speed Calc.'!$D$22/'speed Calc.'!$E$22)*('speed Calc.'!$D$4/'speed Calc.'!$E$4)*'speed Calc.'!$D$8*PI()*('speed Calc.'!$D$6/'speed Calc.'!$E$6)/1000</f>
        <v>147.79765438479254</v>
      </c>
      <c r="K17" s="8">
        <f>'power data'!$A17*60*('speed Calc.'!$D$24/'speed Calc.'!$E$24)*('speed Calc.'!$D$4/'speed Calc.'!$E$4)*'speed Calc.'!$D$8*PI()*('speed Calc.'!$D$6/'speed Calc.'!$E$6)/1000</f>
        <v>168.29960644231033</v>
      </c>
      <c r="M17" s="8">
        <f t="shared" si="0"/>
        <v>2683.7920325854711</v>
      </c>
      <c r="N17" s="8">
        <f t="shared" si="1"/>
        <v>1869.0694512648815</v>
      </c>
      <c r="O17" s="8">
        <f t="shared" si="2"/>
        <v>1430.1786489435733</v>
      </c>
      <c r="P17" s="8">
        <f t="shared" si="3"/>
        <v>1150.1965853937729</v>
      </c>
      <c r="Q17" s="8">
        <f t="shared" si="4"/>
        <v>962.66453342739715</v>
      </c>
      <c r="R17" s="8">
        <f t="shared" si="5"/>
        <v>845.39449026442321</v>
      </c>
      <c r="T17" s="8">
        <f t="shared" si="6"/>
        <v>84.901924485625642</v>
      </c>
      <c r="U17" s="8">
        <f t="shared" si="7"/>
        <v>131.92754384413018</v>
      </c>
      <c r="V17" s="8">
        <f t="shared" si="8"/>
        <v>196.5716486992676</v>
      </c>
      <c r="W17" s="8">
        <f t="shared" si="9"/>
        <v>281.73981108840638</v>
      </c>
      <c r="X17" s="8">
        <f t="shared" si="10"/>
        <v>384.83568764585453</v>
      </c>
      <c r="Y17" s="8">
        <f t="shared" si="11"/>
        <v>486.9578140652622</v>
      </c>
    </row>
    <row r="18" spans="1:25" x14ac:dyDescent="0.55000000000000004">
      <c r="A18" s="6">
        <v>10200</v>
      </c>
      <c r="B18" s="6">
        <v>53.9</v>
      </c>
      <c r="C18">
        <v>36</v>
      </c>
      <c r="D18" s="8">
        <f t="shared" si="13"/>
        <v>40.19323</v>
      </c>
      <c r="F18" s="8">
        <f>'power data'!A18*60*('speed Calc.'!$D$14/'speed Calc.'!$E$14)*('speed Calc.'!$D$4/'speed Calc.'!$E$4)*'speed Calc.'!$D$8*PI()*('speed Calc.'!$D$6/'speed Calc.'!$E$6)/1000</f>
        <v>54.074663549914312</v>
      </c>
      <c r="G18" s="18">
        <f>'power data'!$A18*60*('speed Calc.'!$D$16/'speed Calc.'!$E$16)*('speed Calc.'!$D$4/'speed Calc.'!$E$4)*'speed Calc.'!$D$8*PI()*('speed Calc.'!$D$6/'speed Calc.'!$E$6)/1000</f>
        <v>77.645670738338481</v>
      </c>
      <c r="H18" s="8">
        <f>'power data'!$A18*60*('speed Calc.'!$D$18/'speed Calc.'!$E$18)*('speed Calc.'!$D$4/'speed Calc.'!$E$4)*'speed Calc.'!$D$8*PI()*('speed Calc.'!$D$6/'speed Calc.'!$E$6)/1000</f>
        <v>101.47344271095029</v>
      </c>
      <c r="I18" s="8">
        <f>'power data'!$A18*60*('speed Calc.'!$D$20/'speed Calc.'!$E$20)*('speed Calc.'!$D$4/'speed Calc.'!$E$4)*'speed Calc.'!$D$8*PI()*('speed Calc.'!$D$6/'speed Calc.'!$E$6)/1000</f>
        <v>126.17421494980006</v>
      </c>
      <c r="J18" s="8">
        <f>'power data'!$A18*60*('speed Calc.'!$D$22/'speed Calc.'!$E$22)*('speed Calc.'!$D$4/'speed Calc.'!$E$4)*'speed Calc.'!$D$8*PI()*('speed Calc.'!$D$6/'speed Calc.'!$E$6)/1000</f>
        <v>150.75360747248837</v>
      </c>
      <c r="K18" s="8">
        <f>'power data'!$A18*60*('speed Calc.'!$D$24/'speed Calc.'!$E$24)*('speed Calc.'!$D$4/'speed Calc.'!$E$4)*'speed Calc.'!$D$8*PI()*('speed Calc.'!$D$6/'speed Calc.'!$E$6)/1000</f>
        <v>171.66559857115649</v>
      </c>
      <c r="M18" s="8">
        <f t="shared" si="0"/>
        <v>2675.8488819155914</v>
      </c>
      <c r="N18" s="8">
        <f t="shared" si="1"/>
        <v>1863.5376141912159</v>
      </c>
      <c r="O18" s="8">
        <f t="shared" si="2"/>
        <v>1425.945785757651</v>
      </c>
      <c r="P18" s="8">
        <f t="shared" si="3"/>
        <v>1146.7923779638249</v>
      </c>
      <c r="Q18" s="8">
        <f t="shared" si="4"/>
        <v>959.81535981754917</v>
      </c>
      <c r="R18" s="8">
        <f t="shared" si="5"/>
        <v>842.89239780341154</v>
      </c>
      <c r="T18" s="8">
        <f t="shared" si="6"/>
        <v>86.691180874844932</v>
      </c>
      <c r="U18" s="8">
        <f t="shared" si="7"/>
        <v>135.61663525543298</v>
      </c>
      <c r="V18" s="8">
        <f t="shared" si="8"/>
        <v>202.872361946718</v>
      </c>
      <c r="W18" s="8">
        <f t="shared" si="9"/>
        <v>291.48131809637789</v>
      </c>
      <c r="X18" s="8">
        <f t="shared" si="10"/>
        <v>398.74226806674682</v>
      </c>
      <c r="Y18" s="8">
        <f t="shared" si="11"/>
        <v>504.99012839349871</v>
      </c>
    </row>
    <row r="20" spans="1:25" x14ac:dyDescent="0.55000000000000004">
      <c r="A20" s="15" t="s">
        <v>33</v>
      </c>
      <c r="B20" s="15"/>
      <c r="C20" s="15"/>
      <c r="D20" s="15"/>
      <c r="E20" s="15"/>
      <c r="F20" s="15"/>
      <c r="G20" s="15"/>
      <c r="H20">
        <v>0.35</v>
      </c>
      <c r="I20" t="s">
        <v>36</v>
      </c>
    </row>
    <row r="21" spans="1:25" x14ac:dyDescent="0.55000000000000004">
      <c r="F21" s="15" t="s">
        <v>34</v>
      </c>
      <c r="H21">
        <v>1.167</v>
      </c>
      <c r="I21" t="s">
        <v>37</v>
      </c>
    </row>
    <row r="22" spans="1:25" x14ac:dyDescent="0.55000000000000004">
      <c r="F22" s="15" t="s">
        <v>35</v>
      </c>
      <c r="H22">
        <v>207</v>
      </c>
      <c r="I22" t="s">
        <v>38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CB19A-44DC-40ED-A19F-29A69F692C83}">
  <dimension ref="A1:V62"/>
  <sheetViews>
    <sheetView zoomScale="70" zoomScaleNormal="70" workbookViewId="0">
      <selection activeCell="L14" sqref="L14"/>
    </sheetView>
  </sheetViews>
  <sheetFormatPr defaultRowHeight="14.4" x14ac:dyDescent="0.55000000000000004"/>
  <cols>
    <col min="1" max="1" width="17.68359375" customWidth="1"/>
    <col min="6" max="6" width="11.62890625" customWidth="1"/>
  </cols>
  <sheetData>
    <row r="1" spans="1:13" ht="15.6" x14ac:dyDescent="0.6">
      <c r="C1" s="47" t="s">
        <v>64</v>
      </c>
      <c r="D1" s="47"/>
    </row>
    <row r="2" spans="1:13" ht="14.7" thickBot="1" x14ac:dyDescent="0.6"/>
    <row r="3" spans="1:13" x14ac:dyDescent="0.55000000000000004">
      <c r="A3" s="40"/>
      <c r="B3" s="39" t="s">
        <v>60</v>
      </c>
      <c r="C3" s="35"/>
      <c r="D3" s="39" t="s">
        <v>59</v>
      </c>
      <c r="E3" s="35"/>
      <c r="F3" s="35"/>
      <c r="G3" s="39" t="s">
        <v>58</v>
      </c>
      <c r="H3" s="35"/>
      <c r="I3" s="39" t="s">
        <v>57</v>
      </c>
      <c r="J3" s="34"/>
    </row>
    <row r="4" spans="1:13" x14ac:dyDescent="0.55000000000000004">
      <c r="A4" s="33"/>
      <c r="J4" s="28"/>
    </row>
    <row r="5" spans="1:13" x14ac:dyDescent="0.55000000000000004">
      <c r="A5" s="33" t="s">
        <v>56</v>
      </c>
      <c r="B5">
        <v>53.9</v>
      </c>
      <c r="D5">
        <v>81.400000000000006</v>
      </c>
      <c r="G5">
        <v>56.2</v>
      </c>
      <c r="I5">
        <v>95</v>
      </c>
      <c r="J5" s="28"/>
    </row>
    <row r="6" spans="1:13" x14ac:dyDescent="0.55000000000000004">
      <c r="A6" s="33" t="s">
        <v>55</v>
      </c>
      <c r="B6">
        <v>56.1</v>
      </c>
      <c r="D6">
        <v>107</v>
      </c>
      <c r="G6">
        <v>55.7</v>
      </c>
      <c r="I6">
        <v>94</v>
      </c>
      <c r="J6" s="28"/>
    </row>
    <row r="7" spans="1:13" x14ac:dyDescent="0.55000000000000004">
      <c r="A7" s="33"/>
      <c r="J7" s="28"/>
      <c r="M7" s="46"/>
    </row>
    <row r="8" spans="1:13" x14ac:dyDescent="0.55000000000000004">
      <c r="A8" s="33"/>
      <c r="J8" s="28"/>
    </row>
    <row r="9" spans="1:13" x14ac:dyDescent="0.55000000000000004">
      <c r="A9" s="33" t="s">
        <v>54</v>
      </c>
      <c r="B9">
        <v>1.4750000000000001</v>
      </c>
      <c r="G9" t="s">
        <v>53</v>
      </c>
      <c r="I9">
        <f>B5+B6</f>
        <v>110</v>
      </c>
      <c r="J9" s="28"/>
    </row>
    <row r="10" spans="1:13" x14ac:dyDescent="0.55000000000000004">
      <c r="A10" s="33" t="s">
        <v>52</v>
      </c>
      <c r="B10">
        <v>0.32200000000000001</v>
      </c>
      <c r="G10" t="s">
        <v>51</v>
      </c>
      <c r="I10">
        <f>(D5+D6)-I9</f>
        <v>78.400000000000006</v>
      </c>
      <c r="J10" s="28"/>
    </row>
    <row r="11" spans="1:13" x14ac:dyDescent="0.55000000000000004">
      <c r="A11" s="33" t="s">
        <v>50</v>
      </c>
      <c r="B11">
        <v>0.30499999999999999</v>
      </c>
      <c r="G11" t="s">
        <v>49</v>
      </c>
      <c r="I11">
        <f>I10+I9</f>
        <v>188.4</v>
      </c>
      <c r="J11" s="28"/>
    </row>
    <row r="12" spans="1:13" x14ac:dyDescent="0.55000000000000004">
      <c r="A12" s="33" t="s">
        <v>48</v>
      </c>
      <c r="B12" s="16">
        <f>(B11+B10)/2</f>
        <v>0.3135</v>
      </c>
      <c r="J12" s="28"/>
    </row>
    <row r="13" spans="1:13" x14ac:dyDescent="0.55000000000000004">
      <c r="A13" s="33" t="s">
        <v>47</v>
      </c>
      <c r="B13">
        <v>0.34499999999999997</v>
      </c>
      <c r="G13" t="s">
        <v>46</v>
      </c>
      <c r="I13">
        <v>5</v>
      </c>
      <c r="J13" s="28"/>
    </row>
    <row r="14" spans="1:13" ht="14.7" thickBot="1" x14ac:dyDescent="0.6">
      <c r="A14" s="38" t="s">
        <v>45</v>
      </c>
      <c r="B14" s="37">
        <v>11.5</v>
      </c>
      <c r="C14" s="37"/>
      <c r="D14" s="37"/>
      <c r="E14" s="37"/>
      <c r="F14" s="37"/>
      <c r="G14" s="37"/>
      <c r="H14" s="37"/>
      <c r="I14" s="37"/>
      <c r="J14" s="20"/>
    </row>
    <row r="15" spans="1:13" x14ac:dyDescent="0.55000000000000004">
      <c r="A15" s="36"/>
      <c r="B15" s="35"/>
      <c r="C15" s="35"/>
      <c r="D15" s="35"/>
      <c r="E15" s="35"/>
      <c r="F15" s="35"/>
      <c r="G15" s="35"/>
      <c r="H15" s="35"/>
      <c r="I15" s="35"/>
      <c r="J15" s="34"/>
    </row>
    <row r="16" spans="1:13" x14ac:dyDescent="0.55000000000000004">
      <c r="A16" s="33"/>
      <c r="H16" s="17" t="s">
        <v>44</v>
      </c>
      <c r="I16" s="17" t="s">
        <v>43</v>
      </c>
      <c r="J16" s="28"/>
    </row>
    <row r="17" spans="1:22" x14ac:dyDescent="0.55000000000000004">
      <c r="A17" s="32" t="s">
        <v>42</v>
      </c>
      <c r="B17" s="31">
        <f>PRODUCT(B6,B9)/ I9</f>
        <v>0.75224999999999997</v>
      </c>
      <c r="C17" s="19"/>
      <c r="D17" s="19"/>
      <c r="E17" s="17" t="s">
        <v>41</v>
      </c>
      <c r="F17" s="31">
        <f>((PRODUCT(B9,B6-G6))/PRODUCT(I9,TAN((RADIANS(B14))))+B12)</f>
        <v>0.33986311498483635</v>
      </c>
      <c r="G17" s="30"/>
      <c r="H17" s="29">
        <f>((B9-B17)/B9)*100</f>
        <v>49.000000000000007</v>
      </c>
      <c r="I17" s="8">
        <f>(B17/B9)*100</f>
        <v>50.999999999999993</v>
      </c>
      <c r="J17" s="28"/>
    </row>
    <row r="18" spans="1:22" ht="14.7" thickBot="1" x14ac:dyDescent="0.6">
      <c r="A18" s="27" t="s">
        <v>40</v>
      </c>
      <c r="B18" s="24">
        <f>(D6*B9)/I11</f>
        <v>0.8377123142250531</v>
      </c>
      <c r="C18" s="26"/>
      <c r="D18" s="26"/>
      <c r="E18" s="25" t="s">
        <v>39</v>
      </c>
      <c r="F18" s="24">
        <f>((PRODUCT(B9,D6-I6))/PRODUCT(I11,TAN((RADIANS(B14))))+B12)</f>
        <v>0.8137554993141739</v>
      </c>
      <c r="G18" s="23"/>
      <c r="H18" s="22">
        <f>((B9-B18)/B9)*100</f>
        <v>43.205944798301488</v>
      </c>
      <c r="I18" s="21">
        <f>(B18/B9)*100</f>
        <v>56.794055201698512</v>
      </c>
      <c r="J18" s="20"/>
    </row>
    <row r="19" spans="1:22" x14ac:dyDescent="0.55000000000000004">
      <c r="H19" s="19"/>
    </row>
    <row r="20" spans="1:22" x14ac:dyDescent="0.55000000000000004">
      <c r="A20" s="19"/>
      <c r="B20" s="19"/>
      <c r="C20" s="19"/>
      <c r="D20" s="19"/>
      <c r="E20" s="19"/>
      <c r="F20" s="19"/>
      <c r="G20" s="19"/>
      <c r="H20" s="19"/>
    </row>
    <row r="22" spans="1:22" ht="14.7" thickBot="1" x14ac:dyDescent="0.6"/>
    <row r="23" spans="1:22" ht="14.7" thickBot="1" x14ac:dyDescent="0.6">
      <c r="M23" s="36"/>
      <c r="N23" s="35"/>
      <c r="O23" s="35"/>
      <c r="P23" s="35"/>
      <c r="Q23" s="35"/>
      <c r="R23" s="35"/>
      <c r="S23" s="35"/>
      <c r="T23" s="35"/>
      <c r="U23" s="35"/>
      <c r="V23" s="34"/>
    </row>
    <row r="24" spans="1:22" x14ac:dyDescent="0.55000000000000004">
      <c r="A24" s="36"/>
      <c r="B24" s="35"/>
      <c r="C24" s="45" t="s">
        <v>63</v>
      </c>
      <c r="D24" s="35"/>
      <c r="E24" s="35"/>
      <c r="F24" s="35"/>
      <c r="G24" s="35"/>
      <c r="H24" s="35"/>
      <c r="I24" s="35"/>
      <c r="J24" s="34"/>
      <c r="M24" s="33"/>
      <c r="P24" s="3" t="s">
        <v>62</v>
      </c>
      <c r="V24" s="28"/>
    </row>
    <row r="25" spans="1:22" x14ac:dyDescent="0.55000000000000004">
      <c r="A25" s="33"/>
      <c r="J25" s="28"/>
      <c r="M25" s="33"/>
      <c r="V25" s="28"/>
    </row>
    <row r="26" spans="1:22" x14ac:dyDescent="0.55000000000000004">
      <c r="A26" s="33"/>
      <c r="B26" s="15" t="s">
        <v>60</v>
      </c>
      <c r="C26" s="15"/>
      <c r="D26" s="15" t="s">
        <v>59</v>
      </c>
      <c r="E26" s="15"/>
      <c r="F26" s="15"/>
      <c r="G26" s="15" t="s">
        <v>58</v>
      </c>
      <c r="H26" s="15"/>
      <c r="I26" s="15" t="s">
        <v>57</v>
      </c>
      <c r="J26" s="43"/>
      <c r="M26" s="44"/>
      <c r="N26" s="15" t="s">
        <v>60</v>
      </c>
      <c r="O26" s="15"/>
      <c r="P26" s="15" t="s">
        <v>59</v>
      </c>
      <c r="Q26" s="15"/>
      <c r="R26" s="15"/>
      <c r="S26" s="15" t="s">
        <v>58</v>
      </c>
      <c r="T26" s="15"/>
      <c r="U26" s="15" t="s">
        <v>57</v>
      </c>
      <c r="V26" s="43"/>
    </row>
    <row r="27" spans="1:22" x14ac:dyDescent="0.55000000000000004">
      <c r="A27" s="33"/>
      <c r="J27" s="28"/>
      <c r="M27" s="33"/>
      <c r="V27" s="28"/>
    </row>
    <row r="28" spans="1:22" x14ac:dyDescent="0.55000000000000004">
      <c r="A28" s="33" t="s">
        <v>56</v>
      </c>
      <c r="B28">
        <v>47.1</v>
      </c>
      <c r="D28">
        <v>79</v>
      </c>
      <c r="G28">
        <v>50.3</v>
      </c>
      <c r="I28">
        <v>92.5</v>
      </c>
      <c r="J28" s="28"/>
      <c r="M28" s="33" t="s">
        <v>56</v>
      </c>
      <c r="N28">
        <v>79</v>
      </c>
      <c r="P28">
        <v>104</v>
      </c>
      <c r="S28">
        <v>85.5</v>
      </c>
      <c r="U28">
        <v>118</v>
      </c>
      <c r="V28" s="28"/>
    </row>
    <row r="29" spans="1:22" x14ac:dyDescent="0.55000000000000004">
      <c r="A29" s="33" t="s">
        <v>55</v>
      </c>
      <c r="B29">
        <v>48.9</v>
      </c>
      <c r="D29">
        <v>114</v>
      </c>
      <c r="G29">
        <v>45.35</v>
      </c>
      <c r="I29">
        <v>97</v>
      </c>
      <c r="J29" s="28"/>
      <c r="M29" s="33" t="s">
        <v>55</v>
      </c>
      <c r="N29">
        <v>70.5</v>
      </c>
      <c r="P29">
        <v>111</v>
      </c>
      <c r="S29">
        <v>64</v>
      </c>
      <c r="U29">
        <v>96</v>
      </c>
      <c r="V29" s="28"/>
    </row>
    <row r="30" spans="1:22" x14ac:dyDescent="0.55000000000000004">
      <c r="A30" s="33"/>
      <c r="J30" s="28"/>
      <c r="M30" s="33"/>
      <c r="V30" s="28"/>
    </row>
    <row r="31" spans="1:22" x14ac:dyDescent="0.55000000000000004">
      <c r="A31" s="33"/>
      <c r="J31" s="28"/>
      <c r="M31" s="33"/>
      <c r="V31" s="28"/>
    </row>
    <row r="32" spans="1:22" x14ac:dyDescent="0.55000000000000004">
      <c r="A32" s="33" t="s">
        <v>54</v>
      </c>
      <c r="B32">
        <v>1.49</v>
      </c>
      <c r="G32" t="s">
        <v>53</v>
      </c>
      <c r="I32">
        <v>96</v>
      </c>
      <c r="J32" s="28"/>
      <c r="M32" s="33" t="s">
        <v>54</v>
      </c>
      <c r="N32">
        <v>1.345</v>
      </c>
      <c r="S32" t="s">
        <v>53</v>
      </c>
      <c r="U32">
        <v>149.5</v>
      </c>
      <c r="V32" s="28"/>
    </row>
    <row r="33" spans="1:22" x14ac:dyDescent="0.55000000000000004">
      <c r="A33" s="33" t="s">
        <v>52</v>
      </c>
      <c r="B33">
        <v>0.38100000000000001</v>
      </c>
      <c r="G33" t="s">
        <v>51</v>
      </c>
      <c r="I33">
        <v>97</v>
      </c>
      <c r="J33" s="28"/>
      <c r="M33" s="33" t="s">
        <v>52</v>
      </c>
      <c r="N33">
        <v>0.28999999999999998</v>
      </c>
      <c r="S33" t="s">
        <v>51</v>
      </c>
      <c r="U33">
        <v>65.5</v>
      </c>
      <c r="V33" s="28"/>
    </row>
    <row r="34" spans="1:22" x14ac:dyDescent="0.55000000000000004">
      <c r="A34" s="33" t="s">
        <v>50</v>
      </c>
      <c r="B34">
        <v>0.31900000000000001</v>
      </c>
      <c r="G34" t="s">
        <v>49</v>
      </c>
      <c r="I34">
        <v>193</v>
      </c>
      <c r="J34" s="28"/>
      <c r="M34" s="33" t="s">
        <v>50</v>
      </c>
      <c r="N34">
        <v>0.30399999999999999</v>
      </c>
      <c r="S34" t="s">
        <v>49</v>
      </c>
      <c r="U34">
        <v>215</v>
      </c>
      <c r="V34" s="28"/>
    </row>
    <row r="35" spans="1:22" x14ac:dyDescent="0.55000000000000004">
      <c r="A35" s="33" t="s">
        <v>48</v>
      </c>
      <c r="B35">
        <v>0.35</v>
      </c>
      <c r="J35" s="28"/>
      <c r="M35" s="33" t="s">
        <v>48</v>
      </c>
      <c r="N35">
        <v>0.29699999999999999</v>
      </c>
      <c r="V35" s="28"/>
    </row>
    <row r="36" spans="1:22" x14ac:dyDescent="0.55000000000000004">
      <c r="A36" s="33" t="s">
        <v>47</v>
      </c>
      <c r="B36">
        <v>0.34499999999999997</v>
      </c>
      <c r="G36" t="s">
        <v>46</v>
      </c>
      <c r="I36">
        <v>5</v>
      </c>
      <c r="J36" s="28"/>
      <c r="M36" s="33" t="s">
        <v>47</v>
      </c>
      <c r="N36">
        <v>0.34499999999999997</v>
      </c>
      <c r="S36" t="s">
        <v>46</v>
      </c>
      <c r="U36">
        <v>5</v>
      </c>
      <c r="V36" s="28"/>
    </row>
    <row r="37" spans="1:22" x14ac:dyDescent="0.55000000000000004">
      <c r="A37" s="33" t="s">
        <v>45</v>
      </c>
      <c r="B37">
        <v>13.41</v>
      </c>
      <c r="J37" s="28"/>
      <c r="M37" s="33" t="s">
        <v>45</v>
      </c>
      <c r="N37">
        <v>14.35</v>
      </c>
      <c r="V37" s="28"/>
    </row>
    <row r="38" spans="1:22" ht="14.7" thickBot="1" x14ac:dyDescent="0.6">
      <c r="A38" s="33"/>
      <c r="J38" s="28"/>
      <c r="M38" s="33"/>
      <c r="V38" s="28"/>
    </row>
    <row r="39" spans="1:22" x14ac:dyDescent="0.55000000000000004">
      <c r="A39" s="36"/>
      <c r="B39" s="35"/>
      <c r="C39" s="35"/>
      <c r="D39" s="35"/>
      <c r="E39" s="35"/>
      <c r="F39" s="35"/>
      <c r="G39" s="35"/>
      <c r="H39" s="42" t="s">
        <v>44</v>
      </c>
      <c r="I39" s="42" t="s">
        <v>43</v>
      </c>
      <c r="J39" s="34"/>
      <c r="M39" s="36"/>
      <c r="N39" s="35"/>
      <c r="O39" s="35"/>
      <c r="P39" s="35"/>
      <c r="Q39" s="35"/>
      <c r="R39" s="35"/>
      <c r="S39" s="35"/>
      <c r="T39" s="42" t="s">
        <v>44</v>
      </c>
      <c r="U39" s="42" t="s">
        <v>43</v>
      </c>
      <c r="V39" s="34"/>
    </row>
    <row r="40" spans="1:22" x14ac:dyDescent="0.55000000000000004">
      <c r="A40" s="32" t="s">
        <v>42</v>
      </c>
      <c r="B40" s="16">
        <v>0.75896875000000008</v>
      </c>
      <c r="E40" s="17" t="s">
        <v>41</v>
      </c>
      <c r="F40" s="16">
        <v>0.58110229380670209</v>
      </c>
      <c r="H40" s="8">
        <v>49.062499999999993</v>
      </c>
      <c r="I40" s="8">
        <v>50.9375</v>
      </c>
      <c r="J40" s="28"/>
      <c r="M40" s="32" t="s">
        <v>42</v>
      </c>
      <c r="N40">
        <v>0.63426421404682276</v>
      </c>
      <c r="Q40" s="17" t="s">
        <v>41</v>
      </c>
      <c r="R40">
        <v>0.52558573900679484</v>
      </c>
      <c r="T40">
        <v>52.842809364548494</v>
      </c>
      <c r="U40">
        <v>47.157190635451506</v>
      </c>
      <c r="V40" s="28"/>
    </row>
    <row r="41" spans="1:22" ht="14.7" thickBot="1" x14ac:dyDescent="0.6">
      <c r="A41" s="27" t="s">
        <v>40</v>
      </c>
      <c r="B41" s="24">
        <v>0.88010362694300515</v>
      </c>
      <c r="C41" s="26"/>
      <c r="D41" s="26"/>
      <c r="E41" s="41" t="s">
        <v>39</v>
      </c>
      <c r="F41" s="24">
        <v>0.90047645550979816</v>
      </c>
      <c r="G41" s="26"/>
      <c r="H41" s="21">
        <v>40.932642487046635</v>
      </c>
      <c r="I41" s="21">
        <v>59.067357512953365</v>
      </c>
      <c r="J41" s="20"/>
      <c r="M41" s="27" t="s">
        <v>40</v>
      </c>
      <c r="N41" s="37">
        <v>0.69439534883720921</v>
      </c>
      <c r="O41" s="37"/>
      <c r="P41" s="37"/>
      <c r="Q41" s="41" t="s">
        <v>39</v>
      </c>
      <c r="R41" s="37">
        <v>0.66380037189462426</v>
      </c>
      <c r="S41" s="37"/>
      <c r="T41" s="37">
        <v>48.372093023255822</v>
      </c>
      <c r="U41" s="37">
        <v>51.627906976744178</v>
      </c>
      <c r="V41" s="20"/>
    </row>
    <row r="42" spans="1:22" x14ac:dyDescent="0.55000000000000004">
      <c r="A42" s="19"/>
      <c r="B42" s="19"/>
      <c r="C42" s="19"/>
      <c r="D42" s="19"/>
      <c r="E42" s="19"/>
      <c r="F42" s="19"/>
      <c r="G42" s="19"/>
      <c r="L42" s="19"/>
      <c r="M42" s="19"/>
      <c r="N42" s="19"/>
      <c r="O42" s="19"/>
      <c r="P42" s="19"/>
      <c r="Q42" s="19"/>
      <c r="R42" s="19"/>
    </row>
    <row r="43" spans="1:22" x14ac:dyDescent="0.55000000000000004">
      <c r="L43" s="19"/>
      <c r="M43" s="19"/>
      <c r="N43" s="19"/>
      <c r="O43" s="19"/>
      <c r="P43" s="19"/>
      <c r="Q43" s="19"/>
      <c r="R43" s="19"/>
      <c r="S43" s="19"/>
    </row>
    <row r="45" spans="1:22" x14ac:dyDescent="0.55000000000000004">
      <c r="D45" s="15" t="s">
        <v>61</v>
      </c>
      <c r="E45" s="15"/>
    </row>
    <row r="46" spans="1:22" ht="14.7" thickBot="1" x14ac:dyDescent="0.6"/>
    <row r="47" spans="1:22" x14ac:dyDescent="0.55000000000000004">
      <c r="A47" s="40"/>
      <c r="B47" s="39" t="s">
        <v>60</v>
      </c>
      <c r="C47" s="35"/>
      <c r="D47" s="39" t="s">
        <v>59</v>
      </c>
      <c r="E47" s="35"/>
      <c r="F47" s="35"/>
      <c r="G47" s="39" t="s">
        <v>58</v>
      </c>
      <c r="H47" s="35"/>
      <c r="I47" s="39" t="s">
        <v>57</v>
      </c>
      <c r="J47" s="34"/>
    </row>
    <row r="48" spans="1:22" x14ac:dyDescent="0.55000000000000004">
      <c r="A48" s="33"/>
      <c r="J48" s="28"/>
    </row>
    <row r="49" spans="1:10" x14ac:dyDescent="0.55000000000000004">
      <c r="A49" s="33" t="s">
        <v>56</v>
      </c>
      <c r="B49">
        <v>53.9</v>
      </c>
      <c r="D49">
        <v>81.400000000000006</v>
      </c>
      <c r="G49">
        <v>56.2</v>
      </c>
      <c r="I49">
        <v>95</v>
      </c>
      <c r="J49" s="28"/>
    </row>
    <row r="50" spans="1:10" x14ac:dyDescent="0.55000000000000004">
      <c r="A50" s="33" t="s">
        <v>55</v>
      </c>
      <c r="B50">
        <v>56.1</v>
      </c>
      <c r="D50">
        <v>107</v>
      </c>
      <c r="G50">
        <v>55.7</v>
      </c>
      <c r="I50">
        <v>94</v>
      </c>
      <c r="J50" s="28"/>
    </row>
    <row r="51" spans="1:10" x14ac:dyDescent="0.55000000000000004">
      <c r="A51" s="33"/>
      <c r="J51" s="28"/>
    </row>
    <row r="52" spans="1:10" x14ac:dyDescent="0.55000000000000004">
      <c r="A52" s="33"/>
      <c r="J52" s="28"/>
    </row>
    <row r="53" spans="1:10" x14ac:dyDescent="0.55000000000000004">
      <c r="A53" s="33" t="s">
        <v>54</v>
      </c>
      <c r="B53">
        <v>1.4750000000000001</v>
      </c>
      <c r="G53" t="s">
        <v>53</v>
      </c>
      <c r="I53">
        <f>B49+B50</f>
        <v>110</v>
      </c>
      <c r="J53" s="28"/>
    </row>
    <row r="54" spans="1:10" x14ac:dyDescent="0.55000000000000004">
      <c r="A54" s="33" t="s">
        <v>52</v>
      </c>
      <c r="B54">
        <v>0.32200000000000001</v>
      </c>
      <c r="G54" t="s">
        <v>51</v>
      </c>
      <c r="I54">
        <f>(D49+D50)-I53</f>
        <v>78.400000000000006</v>
      </c>
      <c r="J54" s="28"/>
    </row>
    <row r="55" spans="1:10" x14ac:dyDescent="0.55000000000000004">
      <c r="A55" s="33" t="s">
        <v>50</v>
      </c>
      <c r="B55">
        <v>0.30499999999999999</v>
      </c>
      <c r="G55" t="s">
        <v>49</v>
      </c>
      <c r="I55">
        <f>I54+I53</f>
        <v>188.4</v>
      </c>
      <c r="J55" s="28"/>
    </row>
    <row r="56" spans="1:10" x14ac:dyDescent="0.55000000000000004">
      <c r="A56" s="33" t="s">
        <v>48</v>
      </c>
      <c r="B56" s="16">
        <f>(B55+B54)/2</f>
        <v>0.3135</v>
      </c>
      <c r="J56" s="28"/>
    </row>
    <row r="57" spans="1:10" x14ac:dyDescent="0.55000000000000004">
      <c r="A57" s="33" t="s">
        <v>47</v>
      </c>
      <c r="B57">
        <v>0.34499999999999997</v>
      </c>
      <c r="G57" t="s">
        <v>46</v>
      </c>
      <c r="I57">
        <v>5</v>
      </c>
      <c r="J57" s="28"/>
    </row>
    <row r="58" spans="1:10" ht="14.7" thickBot="1" x14ac:dyDescent="0.6">
      <c r="A58" s="38" t="s">
        <v>45</v>
      </c>
      <c r="B58" s="37">
        <v>11.5</v>
      </c>
      <c r="C58" s="37"/>
      <c r="D58" s="37"/>
      <c r="E58" s="37"/>
      <c r="F58" s="37"/>
      <c r="G58" s="37"/>
      <c r="H58" s="37"/>
      <c r="I58" s="37"/>
      <c r="J58" s="20"/>
    </row>
    <row r="59" spans="1:10" x14ac:dyDescent="0.55000000000000004">
      <c r="A59" s="36"/>
      <c r="B59" s="35"/>
      <c r="C59" s="35"/>
      <c r="D59" s="35"/>
      <c r="E59" s="35"/>
      <c r="F59" s="35"/>
      <c r="G59" s="35"/>
      <c r="H59" s="35"/>
      <c r="I59" s="35"/>
      <c r="J59" s="34"/>
    </row>
    <row r="60" spans="1:10" x14ac:dyDescent="0.55000000000000004">
      <c r="A60" s="33"/>
      <c r="H60" s="17" t="s">
        <v>44</v>
      </c>
      <c r="I60" s="17" t="s">
        <v>43</v>
      </c>
      <c r="J60" s="28"/>
    </row>
    <row r="61" spans="1:10" x14ac:dyDescent="0.55000000000000004">
      <c r="A61" s="32" t="s">
        <v>42</v>
      </c>
      <c r="B61" s="31">
        <f>PRODUCT(B50,B53)/ I53</f>
        <v>0.75224999999999997</v>
      </c>
      <c r="C61" s="19"/>
      <c r="D61" s="19"/>
      <c r="E61" s="17" t="s">
        <v>41</v>
      </c>
      <c r="F61" s="31">
        <f>((PRODUCT(B53,B50-G50))/PRODUCT(I53,TAN((RADIANS(B58))))+B56)</f>
        <v>0.33986311498483635</v>
      </c>
      <c r="G61" s="30"/>
      <c r="H61" s="29">
        <f>((B53-B61)/B53)*100</f>
        <v>49.000000000000007</v>
      </c>
      <c r="I61" s="8">
        <f>(B61/B53)*100</f>
        <v>50.999999999999993</v>
      </c>
      <c r="J61" s="28"/>
    </row>
    <row r="62" spans="1:10" ht="14.7" thickBot="1" x14ac:dyDescent="0.6">
      <c r="A62" s="27" t="s">
        <v>40</v>
      </c>
      <c r="B62" s="24">
        <f>(D50*B53)/I55</f>
        <v>0.8377123142250531</v>
      </c>
      <c r="C62" s="26"/>
      <c r="D62" s="26"/>
      <c r="E62" s="25" t="s">
        <v>39</v>
      </c>
      <c r="F62" s="24">
        <f>((PRODUCT(B53,D50-I50))/PRODUCT(I55,TAN((RADIANS(B58))))+B56)</f>
        <v>0.8137554993141739</v>
      </c>
      <c r="G62" s="23"/>
      <c r="H62" s="22">
        <f>((B53-B62)/B53)*100</f>
        <v>43.205944798301488</v>
      </c>
      <c r="I62" s="21">
        <f>(B62/B53)*100</f>
        <v>56.794055201698512</v>
      </c>
      <c r="J62" s="20"/>
    </row>
  </sheetData>
  <pageMargins left="0.7" right="0.7" top="0.75" bottom="0.75" header="0.3" footer="0.3"/>
  <pageSetup paperSize="9" orientation="portrait" r:id="rId1"/>
  <rowBreaks count="1" manualBreakCount="1">
    <brk id="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4" ma:contentTypeDescription="Create a new document." ma:contentTypeScope="" ma:versionID="6893e67edf0aecc9d56cbae15a71e3b4">
  <xsd:schema xmlns:xsd="http://www.w3.org/2001/XMLSchema" xmlns:xs="http://www.w3.org/2001/XMLSchema" xmlns:p="http://schemas.microsoft.com/office/2006/metadata/properties" xmlns:ns3="7b23fa32-4003-4364-bee1-595462966394" targetNamespace="http://schemas.microsoft.com/office/2006/metadata/properties" ma:root="true" ma:fieldsID="2b530e866435262d0c401c94dcf3a313" ns3:_="">
    <xsd:import namespace="7b23fa32-4003-4364-bee1-5954629663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0726FE-DB50-458F-B757-FEC97B77E6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34B7AC-BE8C-4DB4-8BDB-6077C3880A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73C64E-1060-4601-B14F-B597BBC75A9E}">
  <ds:schemaRefs>
    <ds:schemaRef ds:uri="7b23fa32-4003-4364-bee1-595462966394"/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speed Calc.</vt:lpstr>
      <vt:lpstr>power data</vt:lpstr>
      <vt:lpstr>COG Calc.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Evan Iatrakis</cp:lastModifiedBy>
  <dcterms:created xsi:type="dcterms:W3CDTF">2020-12-04T20:33:40Z</dcterms:created>
  <dcterms:modified xsi:type="dcterms:W3CDTF">2020-12-06T18:44:00Z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