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evel 5\Adrian\"/>
    </mc:Choice>
  </mc:AlternateContent>
  <bookViews>
    <workbookView xWindow="-105" yWindow="-105" windowWidth="19425" windowHeight="10305" firstSheet="3" activeTab="3"/>
  </bookViews>
  <sheets>
    <sheet name="Powerpoint" sheetId="1" state="hidden" r:id="rId1"/>
    <sheet name="Draft 1" sheetId="2" state="hidden" r:id="rId2"/>
    <sheet name="Draft 2" sheetId="3" state="hidden" r:id="rId3"/>
    <sheet name="Break Even" sheetId="4" r:id="rId4"/>
    <sheet name="Cash Flow Forecast " sheetId="5" r:id="rId5"/>
    <sheet name="Cost Analysis " sheetId="6" r:id="rId6"/>
    <sheet name="Sales Forecast" sheetId="7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9" i="4" l="1"/>
  <c r="Q16" i="5"/>
  <c r="C20" i="5"/>
  <c r="C2" i="5"/>
  <c r="B34" i="7" l="1"/>
  <c r="B35" i="7"/>
  <c r="B36" i="7"/>
  <c r="B37" i="7"/>
  <c r="B38" i="7" s="1"/>
  <c r="B39" i="7" s="1"/>
  <c r="B40" i="7" s="1"/>
  <c r="B41" i="7" s="1"/>
  <c r="B42" i="7" s="1"/>
  <c r="B43" i="7" s="1"/>
  <c r="B33" i="7"/>
  <c r="C32" i="7"/>
  <c r="C20" i="7"/>
  <c r="C21" i="7"/>
  <c r="C22" i="7"/>
  <c r="C23" i="7" s="1"/>
  <c r="C24" i="7" s="1"/>
  <c r="C25" i="7" s="1"/>
  <c r="C26" i="7" s="1"/>
  <c r="C27" i="7" s="1"/>
  <c r="C28" i="7" s="1"/>
  <c r="C29" i="7" s="1"/>
  <c r="C19" i="7"/>
  <c r="B20" i="7"/>
  <c r="B21" i="7"/>
  <c r="B22" i="7"/>
  <c r="B23" i="7"/>
  <c r="B24" i="7" s="1"/>
  <c r="B25" i="7" s="1"/>
  <c r="B26" i="7" s="1"/>
  <c r="B27" i="7" s="1"/>
  <c r="B28" i="7" s="1"/>
  <c r="B29" i="7" s="1"/>
  <c r="B19" i="7"/>
  <c r="C18" i="7"/>
  <c r="E9" i="7"/>
  <c r="C3" i="7"/>
  <c r="C4" i="7" s="1"/>
  <c r="C2" i="7"/>
  <c r="F5" i="7"/>
  <c r="F3" i="7"/>
  <c r="F4" i="7"/>
  <c r="F2" i="7"/>
  <c r="O31" i="4"/>
  <c r="O29" i="4"/>
  <c r="O30" i="4"/>
  <c r="O28" i="4"/>
  <c r="J29" i="4"/>
  <c r="O21" i="4"/>
  <c r="O22" i="4"/>
  <c r="O24" i="4"/>
  <c r="O26" i="4"/>
  <c r="O20" i="4"/>
  <c r="J19" i="4"/>
  <c r="G28" i="4"/>
  <c r="D11" i="4" s="1"/>
  <c r="B40" i="5"/>
  <c r="B20" i="5"/>
  <c r="J18" i="4"/>
  <c r="C14" i="4" s="1"/>
  <c r="G31" i="4" s="1"/>
  <c r="D6" i="6"/>
  <c r="D2" i="6"/>
  <c r="C33" i="7" l="1"/>
  <c r="C34" i="7" s="1"/>
  <c r="C40" i="5"/>
  <c r="B19" i="5"/>
  <c r="R10" i="5"/>
  <c r="R11" i="5"/>
  <c r="D40" i="5"/>
  <c r="E40" i="5"/>
  <c r="F40" i="5"/>
  <c r="G40" i="5"/>
  <c r="H40" i="5"/>
  <c r="I40" i="5"/>
  <c r="J40" i="5"/>
  <c r="K40" i="5"/>
  <c r="L40" i="5"/>
  <c r="M40" i="5"/>
  <c r="N40" i="5"/>
  <c r="B29" i="5"/>
  <c r="B41" i="5" s="1"/>
  <c r="B7" i="5"/>
  <c r="R30" i="5"/>
  <c r="R31" i="5"/>
  <c r="R32" i="5"/>
  <c r="R33" i="5"/>
  <c r="R8" i="5"/>
  <c r="R28" i="5"/>
  <c r="R27" i="5"/>
  <c r="R26" i="5"/>
  <c r="R25" i="5"/>
  <c r="R24" i="5"/>
  <c r="R23" i="5"/>
  <c r="R22" i="5"/>
  <c r="R21" i="5"/>
  <c r="C19" i="5"/>
  <c r="D19" i="5"/>
  <c r="E19" i="5"/>
  <c r="F19" i="5"/>
  <c r="G19" i="5"/>
  <c r="H19" i="5"/>
  <c r="I19" i="5"/>
  <c r="J19" i="5"/>
  <c r="K19" i="5"/>
  <c r="L19" i="5"/>
  <c r="M19" i="5"/>
  <c r="N19" i="5"/>
  <c r="R3" i="5"/>
  <c r="R4" i="5"/>
  <c r="R5" i="5"/>
  <c r="R6" i="5"/>
  <c r="R7" i="5"/>
  <c r="R9" i="5"/>
  <c r="R2" i="5"/>
  <c r="F26" i="4"/>
  <c r="C26" i="4"/>
  <c r="B26" i="4"/>
  <c r="E26" i="4" s="1"/>
  <c r="I19" i="4"/>
  <c r="C35" i="7" l="1"/>
  <c r="C5" i="7"/>
  <c r="C6" i="7" s="1"/>
  <c r="C7" i="7" s="1"/>
  <c r="C8" i="7" s="1"/>
  <c r="C9" i="7" s="1"/>
  <c r="C10" i="7" s="1"/>
  <c r="C11" i="7" s="1"/>
  <c r="C12" i="7" s="1"/>
  <c r="C13" i="7" s="1"/>
  <c r="C24" i="5"/>
  <c r="C29" i="5" s="1"/>
  <c r="C41" i="5" s="1"/>
  <c r="C7" i="5"/>
  <c r="C9" i="4"/>
  <c r="D9" i="4" s="1"/>
  <c r="D26" i="4"/>
  <c r="D14" i="4"/>
  <c r="C15" i="4"/>
  <c r="G30" i="4"/>
  <c r="G29" i="4"/>
  <c r="F25" i="4"/>
  <c r="C25" i="4"/>
  <c r="B25" i="4"/>
  <c r="E25" i="4" s="1"/>
  <c r="F24" i="4"/>
  <c r="C24" i="4"/>
  <c r="B24" i="4"/>
  <c r="E24" i="4" s="1"/>
  <c r="F23" i="4"/>
  <c r="C23" i="4"/>
  <c r="B23" i="4"/>
  <c r="E23" i="4" s="1"/>
  <c r="F22" i="4"/>
  <c r="C22" i="4"/>
  <c r="B22" i="4"/>
  <c r="D22" i="4" s="1"/>
  <c r="F21" i="4"/>
  <c r="C21" i="4"/>
  <c r="B21" i="4"/>
  <c r="C4" i="4" s="1"/>
  <c r="D4" i="4" s="1"/>
  <c r="F20" i="4"/>
  <c r="C20" i="4"/>
  <c r="B20" i="4"/>
  <c r="C3" i="4" s="1"/>
  <c r="D3" i="4" s="1"/>
  <c r="E3" i="4" s="1"/>
  <c r="F3" i="4" s="1"/>
  <c r="G3" i="4" s="1"/>
  <c r="H3" i="4" s="1"/>
  <c r="I3" i="4" s="1"/>
  <c r="J3" i="4" s="1"/>
  <c r="K3" i="4" s="1"/>
  <c r="L3" i="4" s="1"/>
  <c r="B15" i="4"/>
  <c r="C8" i="4" l="1"/>
  <c r="D8" i="4" s="1"/>
  <c r="C36" i="7"/>
  <c r="D2" i="5"/>
  <c r="D7" i="5" s="1"/>
  <c r="D20" i="5" s="1"/>
  <c r="E2" i="5" s="1"/>
  <c r="E7" i="5" s="1"/>
  <c r="E20" i="5" s="1"/>
  <c r="F2" i="5" s="1"/>
  <c r="F7" i="5" s="1"/>
  <c r="F20" i="5" s="1"/>
  <c r="G2" i="5" s="1"/>
  <c r="G7" i="5" s="1"/>
  <c r="G20" i="5" s="1"/>
  <c r="H2" i="5" s="1"/>
  <c r="H7" i="5" s="1"/>
  <c r="H20" i="5" s="1"/>
  <c r="I2" i="5" s="1"/>
  <c r="I7" i="5" s="1"/>
  <c r="I20" i="5" s="1"/>
  <c r="J2" i="5" s="1"/>
  <c r="J7" i="5" s="1"/>
  <c r="J20" i="5" s="1"/>
  <c r="K2" i="5" s="1"/>
  <c r="K7" i="5" s="1"/>
  <c r="K20" i="5" s="1"/>
  <c r="L2" i="5" s="1"/>
  <c r="L7" i="5" s="1"/>
  <c r="L20" i="5" s="1"/>
  <c r="M2" i="5" s="1"/>
  <c r="M7" i="5" s="1"/>
  <c r="D24" i="5"/>
  <c r="D29" i="5" s="1"/>
  <c r="D41" i="5" s="1"/>
  <c r="E9" i="4"/>
  <c r="F9" i="4" s="1"/>
  <c r="G9" i="4" s="1"/>
  <c r="H9" i="4" s="1"/>
  <c r="B19" i="4"/>
  <c r="F19" i="4" s="1"/>
  <c r="B10" i="4"/>
  <c r="B16" i="4" s="1"/>
  <c r="B17" i="4" s="1"/>
  <c r="E4" i="4"/>
  <c r="F4" i="4" s="1"/>
  <c r="G4" i="4" s="1"/>
  <c r="H4" i="4" s="1"/>
  <c r="I4" i="4" s="1"/>
  <c r="J4" i="4" s="1"/>
  <c r="K4" i="4" s="1"/>
  <c r="L4" i="4" s="1"/>
  <c r="E8" i="4"/>
  <c r="F8" i="4" s="1"/>
  <c r="G8" i="4" s="1"/>
  <c r="H8" i="4" s="1"/>
  <c r="I8" i="4" s="1"/>
  <c r="E22" i="4"/>
  <c r="C5" i="4"/>
  <c r="D5" i="4" s="1"/>
  <c r="E5" i="4" s="1"/>
  <c r="F5" i="4" s="1"/>
  <c r="G5" i="4" s="1"/>
  <c r="H5" i="4" s="1"/>
  <c r="I5" i="4" s="1"/>
  <c r="J5" i="4" s="1"/>
  <c r="K5" i="4" s="1"/>
  <c r="L5" i="4" s="1"/>
  <c r="C19" i="4"/>
  <c r="E14" i="4"/>
  <c r="F14" i="4" s="1"/>
  <c r="G14" i="4" s="1"/>
  <c r="H14" i="4" s="1"/>
  <c r="I14" i="4" s="1"/>
  <c r="J14" i="4" s="1"/>
  <c r="K14" i="4" s="1"/>
  <c r="L14" i="4" s="1"/>
  <c r="D13" i="4"/>
  <c r="E13" i="4" s="1"/>
  <c r="D21" i="4"/>
  <c r="D12" i="4"/>
  <c r="E12" i="4" s="1"/>
  <c r="F12" i="4" s="1"/>
  <c r="G12" i="4" s="1"/>
  <c r="H12" i="4" s="1"/>
  <c r="I12" i="4" s="1"/>
  <c r="J12" i="4" s="1"/>
  <c r="K12" i="4" s="1"/>
  <c r="L12" i="4" s="1"/>
  <c r="D20" i="4"/>
  <c r="E21" i="4"/>
  <c r="E20" i="4"/>
  <c r="C6" i="4"/>
  <c r="D6" i="4" s="1"/>
  <c r="E6" i="4" s="1"/>
  <c r="F6" i="4" s="1"/>
  <c r="G6" i="4" s="1"/>
  <c r="H6" i="4" s="1"/>
  <c r="I6" i="4" s="1"/>
  <c r="C7" i="4"/>
  <c r="D25" i="4"/>
  <c r="D24" i="4"/>
  <c r="D23" i="4"/>
  <c r="I24" i="3"/>
  <c r="D10" i="3" s="1"/>
  <c r="E10" i="3" s="1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J8" i="4" l="1"/>
  <c r="K8" i="4" s="1"/>
  <c r="L8" i="4" s="1"/>
  <c r="O25" i="4"/>
  <c r="J6" i="4"/>
  <c r="K6" i="4" s="1"/>
  <c r="L6" i="4" s="1"/>
  <c r="O23" i="4"/>
  <c r="C37" i="7"/>
  <c r="E24" i="5"/>
  <c r="E29" i="5" s="1"/>
  <c r="E41" i="5" s="1"/>
  <c r="I9" i="4"/>
  <c r="J9" i="4" s="1"/>
  <c r="K9" i="4" s="1"/>
  <c r="L9" i="4" s="1"/>
  <c r="M20" i="5"/>
  <c r="N2" i="5" s="1"/>
  <c r="N7" i="5" s="1"/>
  <c r="E19" i="4"/>
  <c r="D19" i="4"/>
  <c r="C2" i="4"/>
  <c r="D2" i="4" s="1"/>
  <c r="E2" i="4" s="1"/>
  <c r="F2" i="4" s="1"/>
  <c r="G2" i="4" s="1"/>
  <c r="H2" i="4" s="1"/>
  <c r="D15" i="4"/>
  <c r="F13" i="4"/>
  <c r="E11" i="4"/>
  <c r="E15" i="4" s="1"/>
  <c r="D7" i="4"/>
  <c r="C38" i="7" l="1"/>
  <c r="F24" i="5"/>
  <c r="F29" i="5" s="1"/>
  <c r="F41" i="5" s="1"/>
  <c r="I2" i="4"/>
  <c r="J2" i="4" s="1"/>
  <c r="K2" i="4" s="1"/>
  <c r="L2" i="4" s="1"/>
  <c r="N20" i="5"/>
  <c r="C10" i="4"/>
  <c r="C16" i="4" s="1"/>
  <c r="C17" i="4" s="1"/>
  <c r="G13" i="4"/>
  <c r="F11" i="4"/>
  <c r="F15" i="4" s="1"/>
  <c r="E7" i="4"/>
  <c r="D10" i="4"/>
  <c r="D16" i="4" s="1"/>
  <c r="D17" i="4" s="1"/>
  <c r="B2" i="3"/>
  <c r="G28" i="1"/>
  <c r="D23" i="3"/>
  <c r="C18" i="3"/>
  <c r="C19" i="3"/>
  <c r="C20" i="3"/>
  <c r="C21" i="3"/>
  <c r="C22" i="3"/>
  <c r="C23" i="3"/>
  <c r="C17" i="3"/>
  <c r="D2" i="3" s="1"/>
  <c r="C13" i="3"/>
  <c r="B13" i="3"/>
  <c r="B9" i="3"/>
  <c r="I26" i="3"/>
  <c r="D12" i="3" s="1"/>
  <c r="E12" i="3" s="1"/>
  <c r="F12" i="3" s="1"/>
  <c r="G12" i="3" s="1"/>
  <c r="H12" i="3" s="1"/>
  <c r="I12" i="3" s="1"/>
  <c r="J12" i="3" s="1"/>
  <c r="K12" i="3" s="1"/>
  <c r="L12" i="3" s="1"/>
  <c r="M12" i="3" s="1"/>
  <c r="N12" i="3" s="1"/>
  <c r="O12" i="3" s="1"/>
  <c r="P12" i="3" s="1"/>
  <c r="Q12" i="3" s="1"/>
  <c r="R12" i="3" s="1"/>
  <c r="S12" i="3" s="1"/>
  <c r="T12" i="3" s="1"/>
  <c r="U12" i="3" s="1"/>
  <c r="V12" i="3" s="1"/>
  <c r="I25" i="3"/>
  <c r="D11" i="3" s="1"/>
  <c r="E11" i="3" s="1"/>
  <c r="F11" i="3" s="1"/>
  <c r="G11" i="3" s="1"/>
  <c r="H23" i="3"/>
  <c r="G23" i="3"/>
  <c r="F23" i="3"/>
  <c r="B23" i="3"/>
  <c r="C8" i="3" s="1"/>
  <c r="H22" i="3"/>
  <c r="G22" i="3"/>
  <c r="F22" i="3"/>
  <c r="B22" i="3"/>
  <c r="D22" i="3" s="1"/>
  <c r="H21" i="3"/>
  <c r="G21" i="3"/>
  <c r="F21" i="3"/>
  <c r="B21" i="3"/>
  <c r="C6" i="3" s="1"/>
  <c r="F20" i="3"/>
  <c r="B20" i="3"/>
  <c r="H19" i="3"/>
  <c r="G19" i="3"/>
  <c r="F19" i="3"/>
  <c r="B19" i="3"/>
  <c r="C4" i="3" s="1"/>
  <c r="H18" i="3"/>
  <c r="G18" i="3"/>
  <c r="F18" i="3"/>
  <c r="B18" i="3"/>
  <c r="C3" i="3" s="1"/>
  <c r="D3" i="3" s="1"/>
  <c r="B17" i="3"/>
  <c r="F17" i="3" s="1"/>
  <c r="C39" i="7" l="1"/>
  <c r="G24" i="5"/>
  <c r="G29" i="5" s="1"/>
  <c r="P5" i="3"/>
  <c r="G5" i="3"/>
  <c r="F13" i="3"/>
  <c r="D13" i="3"/>
  <c r="D4" i="3"/>
  <c r="E4" i="3" s="1"/>
  <c r="H20" i="3"/>
  <c r="J5" i="3"/>
  <c r="L5" i="3"/>
  <c r="C5" i="3"/>
  <c r="S5" i="3"/>
  <c r="U5" i="3"/>
  <c r="D6" i="3"/>
  <c r="D8" i="3"/>
  <c r="E8" i="3" s="1"/>
  <c r="F8" i="3" s="1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H11" i="3"/>
  <c r="G13" i="3"/>
  <c r="E13" i="3"/>
  <c r="E2" i="3"/>
  <c r="D5" i="3"/>
  <c r="T5" i="3"/>
  <c r="M5" i="3"/>
  <c r="E21" i="3"/>
  <c r="H17" i="3"/>
  <c r="C2" i="3"/>
  <c r="H13" i="4"/>
  <c r="G11" i="4"/>
  <c r="G15" i="4" s="1"/>
  <c r="F7" i="4"/>
  <c r="E10" i="4"/>
  <c r="E16" i="4" s="1"/>
  <c r="E17" i="4" s="1"/>
  <c r="E22" i="3"/>
  <c r="E19" i="3"/>
  <c r="D18" i="3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D21" i="3"/>
  <c r="D19" i="3"/>
  <c r="G20" i="3"/>
  <c r="E23" i="3"/>
  <c r="E18" i="3"/>
  <c r="D20" i="3"/>
  <c r="E20" i="3"/>
  <c r="B14" i="3"/>
  <c r="B15" i="3" s="1"/>
  <c r="G17" i="3"/>
  <c r="D17" i="3"/>
  <c r="E17" i="3"/>
  <c r="M13" i="2"/>
  <c r="M9" i="2"/>
  <c r="C20" i="2"/>
  <c r="B20" i="2"/>
  <c r="E20" i="2" s="1"/>
  <c r="B19" i="2"/>
  <c r="B22" i="2"/>
  <c r="B23" i="2"/>
  <c r="F25" i="2"/>
  <c r="D11" i="2" s="1"/>
  <c r="F24" i="2"/>
  <c r="D10" i="2" s="1"/>
  <c r="F26" i="2"/>
  <c r="D12" i="2" s="1"/>
  <c r="E12" i="2" s="1"/>
  <c r="F12" i="2" s="1"/>
  <c r="G12" i="2" s="1"/>
  <c r="H12" i="2" s="1"/>
  <c r="I12" i="2" s="1"/>
  <c r="J12" i="2" s="1"/>
  <c r="K12" i="2" s="1"/>
  <c r="L12" i="2" s="1"/>
  <c r="E19" i="2"/>
  <c r="E22" i="2"/>
  <c r="E23" i="2"/>
  <c r="D19" i="2"/>
  <c r="D22" i="2"/>
  <c r="D23" i="2"/>
  <c r="B3" i="2"/>
  <c r="C18" i="2" s="1"/>
  <c r="C3" i="2" s="1"/>
  <c r="C19" i="2"/>
  <c r="C4" i="2" s="1"/>
  <c r="C22" i="2"/>
  <c r="C7" i="2" s="1"/>
  <c r="C23" i="2"/>
  <c r="C8" i="2" s="1"/>
  <c r="C40" i="7" l="1"/>
  <c r="G41" i="5"/>
  <c r="H24" i="5" s="1"/>
  <c r="H29" i="5" s="1"/>
  <c r="H41" i="5" s="1"/>
  <c r="I24" i="5" s="1"/>
  <c r="I29" i="5" s="1"/>
  <c r="I41" i="5" s="1"/>
  <c r="F5" i="3"/>
  <c r="V5" i="3"/>
  <c r="O5" i="3"/>
  <c r="H5" i="3"/>
  <c r="Q5" i="3"/>
  <c r="F2" i="3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F4" i="3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B18" i="2"/>
  <c r="N5" i="3"/>
  <c r="E5" i="3"/>
  <c r="K5" i="3"/>
  <c r="I11" i="3"/>
  <c r="H13" i="3"/>
  <c r="E6" i="3"/>
  <c r="F6" i="3" s="1"/>
  <c r="G6" i="3" s="1"/>
  <c r="H6" i="3" s="1"/>
  <c r="I6" i="3" s="1"/>
  <c r="J6" i="3" s="1"/>
  <c r="K6" i="3" s="1"/>
  <c r="L6" i="3" s="1"/>
  <c r="M6" i="3" s="1"/>
  <c r="N6" i="3" s="1"/>
  <c r="O6" i="3" s="1"/>
  <c r="P6" i="3" s="1"/>
  <c r="Q6" i="3" s="1"/>
  <c r="R6" i="3" s="1"/>
  <c r="S6" i="3" s="1"/>
  <c r="T6" i="3" s="1"/>
  <c r="U6" i="3" s="1"/>
  <c r="V6" i="3" s="1"/>
  <c r="R5" i="3"/>
  <c r="I5" i="3"/>
  <c r="I13" i="4"/>
  <c r="H11" i="4"/>
  <c r="H15" i="4" s="1"/>
  <c r="G7" i="4"/>
  <c r="F10" i="4"/>
  <c r="F16" i="4" s="1"/>
  <c r="F17" i="4" s="1"/>
  <c r="C9" i="3"/>
  <c r="C14" i="3" s="1"/>
  <c r="C15" i="3" s="1"/>
  <c r="D20" i="2"/>
  <c r="D4" i="2"/>
  <c r="E4" i="2" s="1"/>
  <c r="F4" i="2" s="1"/>
  <c r="G4" i="2" s="1"/>
  <c r="H4" i="2" s="1"/>
  <c r="M14" i="2"/>
  <c r="M15" i="2" s="1"/>
  <c r="E10" i="2"/>
  <c r="E18" i="2"/>
  <c r="D18" i="2"/>
  <c r="D3" i="2" s="1"/>
  <c r="D8" i="2"/>
  <c r="E8" i="2" s="1"/>
  <c r="F8" i="2" s="1"/>
  <c r="G8" i="2" s="1"/>
  <c r="H8" i="2" s="1"/>
  <c r="I8" i="2" s="1"/>
  <c r="J8" i="2" s="1"/>
  <c r="K8" i="2" s="1"/>
  <c r="L8" i="2" s="1"/>
  <c r="D7" i="2"/>
  <c r="E7" i="2" s="1"/>
  <c r="F7" i="2" s="1"/>
  <c r="G7" i="2" s="1"/>
  <c r="H7" i="2" s="1"/>
  <c r="I7" i="2" s="1"/>
  <c r="J7" i="2" s="1"/>
  <c r="K7" i="2" s="1"/>
  <c r="L7" i="2" s="1"/>
  <c r="C13" i="2"/>
  <c r="D13" i="2"/>
  <c r="B13" i="2"/>
  <c r="C41" i="7" l="1"/>
  <c r="J24" i="5"/>
  <c r="J29" i="5" s="1"/>
  <c r="J41" i="5" s="1"/>
  <c r="J11" i="3"/>
  <c r="I13" i="3"/>
  <c r="J13" i="4"/>
  <c r="I11" i="4"/>
  <c r="I15" i="4" s="1"/>
  <c r="H7" i="4"/>
  <c r="G10" i="4"/>
  <c r="G16" i="4" s="1"/>
  <c r="G17" i="4" s="1"/>
  <c r="D9" i="3"/>
  <c r="D14" i="3" s="1"/>
  <c r="D15" i="3" s="1"/>
  <c r="E3" i="2"/>
  <c r="F3" i="2" s="1"/>
  <c r="G3" i="2" s="1"/>
  <c r="H3" i="2" s="1"/>
  <c r="I3" i="2" s="1"/>
  <c r="J3" i="2" s="1"/>
  <c r="K3" i="2" s="1"/>
  <c r="L3" i="2" s="1"/>
  <c r="B17" i="2"/>
  <c r="I4" i="2"/>
  <c r="F10" i="2"/>
  <c r="E17" i="2"/>
  <c r="D17" i="2"/>
  <c r="C17" i="2"/>
  <c r="C2" i="2" s="1"/>
  <c r="B21" i="2"/>
  <c r="F32" i="1"/>
  <c r="F33" i="1"/>
  <c r="F34" i="1"/>
  <c r="C42" i="7" l="1"/>
  <c r="K24" i="5"/>
  <c r="K29" i="5" s="1"/>
  <c r="K41" i="5" s="1"/>
  <c r="K11" i="3"/>
  <c r="J13" i="3"/>
  <c r="K13" i="4"/>
  <c r="J11" i="4"/>
  <c r="J15" i="4" s="1"/>
  <c r="I7" i="4"/>
  <c r="H10" i="4"/>
  <c r="H16" i="4" s="1"/>
  <c r="H17" i="4" s="1"/>
  <c r="E9" i="3"/>
  <c r="E14" i="3" s="1"/>
  <c r="E15" i="3" s="1"/>
  <c r="J4" i="2"/>
  <c r="G10" i="2"/>
  <c r="C21" i="2"/>
  <c r="C6" i="2" s="1"/>
  <c r="C9" i="2" s="1"/>
  <c r="C14" i="2" s="1"/>
  <c r="D21" i="2"/>
  <c r="E21" i="2"/>
  <c r="D2" i="2"/>
  <c r="E2" i="2" s="1"/>
  <c r="F2" i="2" s="1"/>
  <c r="B9" i="2"/>
  <c r="B14" i="2" s="1"/>
  <c r="B15" i="2" s="1"/>
  <c r="E31" i="1"/>
  <c r="F31" i="1" s="1"/>
  <c r="F35" i="1" s="1"/>
  <c r="E29" i="1"/>
  <c r="E28" i="1"/>
  <c r="C43" i="7" l="1"/>
  <c r="L24" i="5"/>
  <c r="L29" i="5" s="1"/>
  <c r="L41" i="5" s="1"/>
  <c r="E35" i="1"/>
  <c r="L11" i="3"/>
  <c r="K13" i="3"/>
  <c r="L13" i="4"/>
  <c r="K11" i="4"/>
  <c r="K15" i="4" s="1"/>
  <c r="J7" i="4"/>
  <c r="I10" i="4"/>
  <c r="I16" i="4" s="1"/>
  <c r="I17" i="4" s="1"/>
  <c r="F9" i="3"/>
  <c r="F14" i="3" s="1"/>
  <c r="F15" i="3" s="1"/>
  <c r="C15" i="2"/>
  <c r="D6" i="2"/>
  <c r="E6" i="2" s="1"/>
  <c r="F6" i="2" s="1"/>
  <c r="G6" i="2" s="1"/>
  <c r="H6" i="2" s="1"/>
  <c r="K4" i="2"/>
  <c r="H10" i="2"/>
  <c r="G21" i="1"/>
  <c r="F21" i="1"/>
  <c r="G17" i="1"/>
  <c r="F17" i="1"/>
  <c r="E22" i="1"/>
  <c r="E21" i="1"/>
  <c r="E18" i="1"/>
  <c r="E17" i="1"/>
  <c r="D21" i="1"/>
  <c r="D17" i="1"/>
  <c r="D22" i="1"/>
  <c r="D18" i="1"/>
  <c r="M24" i="5" l="1"/>
  <c r="M29" i="5" s="1"/>
  <c r="M41" i="5" s="1"/>
  <c r="M11" i="3"/>
  <c r="L13" i="3"/>
  <c r="L11" i="4"/>
  <c r="L15" i="4" s="1"/>
  <c r="K7" i="4"/>
  <c r="J10" i="4"/>
  <c r="J16" i="4" s="1"/>
  <c r="J17" i="4" s="1"/>
  <c r="G9" i="3"/>
  <c r="G14" i="3" s="1"/>
  <c r="G15" i="3" s="1"/>
  <c r="D9" i="2"/>
  <c r="D14" i="2" s="1"/>
  <c r="D15" i="2" s="1"/>
  <c r="E9" i="2"/>
  <c r="I6" i="2"/>
  <c r="L4" i="2"/>
  <c r="I10" i="2"/>
  <c r="G2" i="2"/>
  <c r="H2" i="2" s="1"/>
  <c r="I2" i="2" s="1"/>
  <c r="J2" i="2" s="1"/>
  <c r="K2" i="2" s="1"/>
  <c r="L2" i="2" s="1"/>
  <c r="F9" i="2"/>
  <c r="N24" i="5" l="1"/>
  <c r="N29" i="5" s="1"/>
  <c r="N41" i="5" s="1"/>
  <c r="N11" i="3"/>
  <c r="M13" i="3"/>
  <c r="L7" i="4"/>
  <c r="K10" i="4"/>
  <c r="K16" i="4" s="1"/>
  <c r="K17" i="4" s="1"/>
  <c r="H9" i="3"/>
  <c r="H14" i="3" s="1"/>
  <c r="H15" i="3" s="1"/>
  <c r="H9" i="2"/>
  <c r="J6" i="2"/>
  <c r="I9" i="2"/>
  <c r="J10" i="2"/>
  <c r="G9" i="2"/>
  <c r="O11" i="3" l="1"/>
  <c r="N13" i="3"/>
  <c r="L10" i="4"/>
  <c r="L16" i="4" s="1"/>
  <c r="L17" i="4" s="1"/>
  <c r="I9" i="3"/>
  <c r="I14" i="3" s="1"/>
  <c r="I15" i="3" s="1"/>
  <c r="K6" i="2"/>
  <c r="J9" i="2"/>
  <c r="K10" i="2"/>
  <c r="P11" i="3" l="1"/>
  <c r="O13" i="3"/>
  <c r="J9" i="3"/>
  <c r="J14" i="3" s="1"/>
  <c r="J15" i="3" s="1"/>
  <c r="L6" i="2"/>
  <c r="L9" i="2" s="1"/>
  <c r="K9" i="2"/>
  <c r="L10" i="2"/>
  <c r="Q11" i="3" l="1"/>
  <c r="P13" i="3"/>
  <c r="K9" i="3"/>
  <c r="K14" i="3" s="1"/>
  <c r="K15" i="3" s="1"/>
  <c r="E11" i="2"/>
  <c r="R11" i="3" l="1"/>
  <c r="Q13" i="3"/>
  <c r="L9" i="3"/>
  <c r="L14" i="3" s="1"/>
  <c r="L15" i="3" s="1"/>
  <c r="F11" i="2"/>
  <c r="E13" i="2"/>
  <c r="E14" i="2" s="1"/>
  <c r="E15" i="2" s="1"/>
  <c r="S11" i="3" l="1"/>
  <c r="R13" i="3"/>
  <c r="M9" i="3"/>
  <c r="M14" i="3" s="1"/>
  <c r="M15" i="3" s="1"/>
  <c r="G11" i="2"/>
  <c r="F13" i="2"/>
  <c r="F14" i="2" s="1"/>
  <c r="F15" i="2" s="1"/>
  <c r="T11" i="3" l="1"/>
  <c r="S13" i="3"/>
  <c r="N9" i="3"/>
  <c r="N14" i="3" s="1"/>
  <c r="N15" i="3" s="1"/>
  <c r="H11" i="2"/>
  <c r="G13" i="2"/>
  <c r="G14" i="2" s="1"/>
  <c r="G15" i="2" s="1"/>
  <c r="U11" i="3" l="1"/>
  <c r="T13" i="3"/>
  <c r="O9" i="3"/>
  <c r="O14" i="3" s="1"/>
  <c r="O15" i="3" s="1"/>
  <c r="I11" i="2"/>
  <c r="H13" i="2"/>
  <c r="H14" i="2" s="1"/>
  <c r="H15" i="2" s="1"/>
  <c r="V11" i="3" l="1"/>
  <c r="V13" i="3" s="1"/>
  <c r="U13" i="3"/>
  <c r="P9" i="3"/>
  <c r="P14" i="3" s="1"/>
  <c r="P15" i="3" s="1"/>
  <c r="J11" i="2"/>
  <c r="K11" i="2" s="1"/>
  <c r="L11" i="2" s="1"/>
  <c r="I13" i="2"/>
  <c r="I14" i="2" s="1"/>
  <c r="I15" i="2" s="1"/>
  <c r="Q9" i="3" l="1"/>
  <c r="Q14" i="3" s="1"/>
  <c r="Q15" i="3" s="1"/>
  <c r="J13" i="2"/>
  <c r="J14" i="2" s="1"/>
  <c r="J15" i="2" s="1"/>
  <c r="R9" i="3" l="1"/>
  <c r="R14" i="3" s="1"/>
  <c r="R15" i="3" s="1"/>
  <c r="K13" i="2"/>
  <c r="K14" i="2" s="1"/>
  <c r="K15" i="2" s="1"/>
  <c r="S9" i="3" l="1"/>
  <c r="S14" i="3" s="1"/>
  <c r="S15" i="3" s="1"/>
  <c r="L13" i="2"/>
  <c r="L14" i="2" s="1"/>
  <c r="T9" i="3" l="1"/>
  <c r="T14" i="3" s="1"/>
  <c r="T15" i="3" s="1"/>
  <c r="L15" i="2"/>
  <c r="V9" i="3" l="1"/>
  <c r="V14" i="3" s="1"/>
  <c r="V15" i="3" s="1"/>
  <c r="U9" i="3"/>
  <c r="U14" i="3" s="1"/>
  <c r="U15" i="3" s="1"/>
</calcChain>
</file>

<file path=xl/sharedStrings.xml><?xml version="1.0" encoding="utf-8"?>
<sst xmlns="http://schemas.openxmlformats.org/spreadsheetml/2006/main" count="390" uniqueCount="157">
  <si>
    <t>Promotion</t>
  </si>
  <si>
    <t>Market Research</t>
  </si>
  <si>
    <t>Insurance, License, and Permit Fees</t>
  </si>
  <si>
    <t>Technological Expenses</t>
  </si>
  <si>
    <t>Loan/Investors</t>
  </si>
  <si>
    <t xml:space="preserve">costs </t>
  </si>
  <si>
    <t xml:space="preserve">Free if self done via social media or 5k-25k if hireing a company to promote it </t>
  </si>
  <si>
    <t xml:space="preserve">could start as low as £500 but go as high as £1500 </t>
  </si>
  <si>
    <t xml:space="preserve">depend on if we decide on hireing others to help </t>
  </si>
  <si>
    <t xml:space="preserve">as little as £40 a year </t>
  </si>
  <si>
    <t xml:space="preserve">web hosting </t>
  </si>
  <si>
    <t>Own Company</t>
  </si>
  <si>
    <t xml:space="preserve">Typical App devlopoment Costs </t>
  </si>
  <si>
    <t xml:space="preserve">Overall Costs </t>
  </si>
  <si>
    <t>Basic app Costs (Example Calculator or camera)</t>
  </si>
  <si>
    <t>Full Product (Example McDonalds Loyalty app)</t>
  </si>
  <si>
    <t>Large App (Example UBER, Instagram)</t>
  </si>
  <si>
    <t xml:space="preserve">Time it might take </t>
  </si>
  <si>
    <t>3-5 months</t>
  </si>
  <si>
    <t>4-9 months</t>
  </si>
  <si>
    <t>9+ months</t>
  </si>
  <si>
    <t>App Development Team</t>
  </si>
  <si>
    <t>£43000 - £110000</t>
  </si>
  <si>
    <t>£110000 - £220000</t>
  </si>
  <si>
    <t>min hours 2190</t>
  </si>
  <si>
    <t>max hours 3650</t>
  </si>
  <si>
    <t xml:space="preserve">min </t>
  </si>
  <si>
    <t>max</t>
  </si>
  <si>
    <t>Android</t>
  </si>
  <si>
    <t>Time in hours</t>
  </si>
  <si>
    <t>min</t>
  </si>
  <si>
    <t xml:space="preserve">Time </t>
  </si>
  <si>
    <t>IOS</t>
  </si>
  <si>
    <t xml:space="preserve">Android </t>
  </si>
  <si>
    <t>ISO</t>
  </si>
  <si>
    <t>Min</t>
  </si>
  <si>
    <t>Max</t>
  </si>
  <si>
    <t>MIN</t>
  </si>
  <si>
    <t>MAX</t>
  </si>
  <si>
    <t>£100 - £2000</t>
  </si>
  <si>
    <t>£1000+</t>
  </si>
  <si>
    <t>£131400 - £788400</t>
  </si>
  <si>
    <t>Total</t>
  </si>
  <si>
    <t>Time</t>
  </si>
  <si>
    <t xml:space="preserve">Using a template like wix </t>
  </si>
  <si>
    <t>If you hire a Freelancer</t>
  </si>
  <si>
    <t xml:space="preserve">If you hire an App Company or staff </t>
  </si>
  <si>
    <t xml:space="preserve">Design Team </t>
  </si>
  <si>
    <t>£3620+</t>
  </si>
  <si>
    <t>£11000+</t>
  </si>
  <si>
    <t>£181000+</t>
  </si>
  <si>
    <t xml:space="preserve">Promotion Team </t>
  </si>
  <si>
    <t xml:space="preserve">Design team for a basic app </t>
  </si>
  <si>
    <t>Design team for a medium size app</t>
  </si>
  <si>
    <t xml:space="preserve">Design team for a large size app </t>
  </si>
  <si>
    <t xml:space="preserve">Description on where the costs are for </t>
  </si>
  <si>
    <t>£220000+</t>
  </si>
  <si>
    <t xml:space="preserve">Acounting </t>
  </si>
  <si>
    <t>£50-£150</t>
  </si>
  <si>
    <t>£150+</t>
  </si>
  <si>
    <t xml:space="preserve">might hire own accountant </t>
  </si>
  <si>
    <t xml:space="preserve">might use a small acounting firm </t>
  </si>
  <si>
    <t>£3620 - £18286</t>
  </si>
  <si>
    <t xml:space="preserve">Depends on how much promotion you want to have for your app </t>
  </si>
  <si>
    <t xml:space="preserve">Market Research </t>
  </si>
  <si>
    <t>flutter</t>
  </si>
  <si>
    <t>year</t>
  </si>
  <si>
    <t>month</t>
  </si>
  <si>
    <t>developer team (flutter)</t>
  </si>
  <si>
    <t>energy + gas bill (typical)</t>
  </si>
  <si>
    <t xml:space="preserve">acounting team </t>
  </si>
  <si>
    <t xml:space="preserve">design and promotion team </t>
  </si>
  <si>
    <t xml:space="preserve">total a month </t>
  </si>
  <si>
    <t>rent</t>
  </si>
  <si>
    <t>hardware</t>
  </si>
  <si>
    <t>software</t>
  </si>
  <si>
    <t>year 1</t>
  </si>
  <si>
    <t>year 2</t>
  </si>
  <si>
    <t>year 0</t>
  </si>
  <si>
    <t>year 3</t>
  </si>
  <si>
    <t>year 4</t>
  </si>
  <si>
    <t>year 5</t>
  </si>
  <si>
    <t>staff</t>
  </si>
  <si>
    <t>gas + electric</t>
  </si>
  <si>
    <t>Council tax</t>
  </si>
  <si>
    <t>Advertisement</t>
  </si>
  <si>
    <t>total outgoings</t>
  </si>
  <si>
    <t>Product</t>
  </si>
  <si>
    <t>pubco</t>
  </si>
  <si>
    <t xml:space="preserve">pub adverticement </t>
  </si>
  <si>
    <t xml:space="preserve">total incomings </t>
  </si>
  <si>
    <t>total LOSS/GAIN</t>
  </si>
  <si>
    <t>year 6</t>
  </si>
  <si>
    <t>year 7</t>
  </si>
  <si>
    <t>year 8</t>
  </si>
  <si>
    <t>year 9</t>
  </si>
  <si>
    <t>year 10</t>
  </si>
  <si>
    <t>LOSS/GAIN %</t>
  </si>
  <si>
    <t>year 100</t>
  </si>
  <si>
    <t>Draft</t>
  </si>
  <si>
    <t>Utilities</t>
  </si>
  <si>
    <t xml:space="preserve">pubco </t>
  </si>
  <si>
    <t>pub adverticement</t>
  </si>
  <si>
    <t>Product Bases 100 members)</t>
  </si>
  <si>
    <t>year 11</t>
  </si>
  <si>
    <t>year 12</t>
  </si>
  <si>
    <t>year 13</t>
  </si>
  <si>
    <t>year 14</t>
  </si>
  <si>
    <t>year 15</t>
  </si>
  <si>
    <t>year 16</t>
  </si>
  <si>
    <t>year 17</t>
  </si>
  <si>
    <t>year 18</t>
  </si>
  <si>
    <t>year 19</t>
  </si>
  <si>
    <t>year 20</t>
  </si>
  <si>
    <t>5% commision</t>
  </si>
  <si>
    <t>1 customer</t>
  </si>
  <si>
    <t>100 customers</t>
  </si>
  <si>
    <t>Web Server</t>
  </si>
  <si>
    <t xml:space="preserve">R&amp;D credit </t>
  </si>
  <si>
    <t>Web server</t>
  </si>
  <si>
    <t>Cash Paid Out</t>
  </si>
  <si>
    <t>Cash On Hand</t>
  </si>
  <si>
    <t>Pre-startup EST</t>
  </si>
  <si>
    <t>Jan</t>
  </si>
  <si>
    <t>Feb</t>
  </si>
  <si>
    <t>Mar</t>
  </si>
  <si>
    <t>Apr</t>
  </si>
  <si>
    <t>May</t>
  </si>
  <si>
    <t>Jun</t>
  </si>
  <si>
    <t>Jul</t>
  </si>
  <si>
    <t>Wages</t>
  </si>
  <si>
    <t xml:space="preserve">Advertising </t>
  </si>
  <si>
    <t>Aug</t>
  </si>
  <si>
    <t>Sep</t>
  </si>
  <si>
    <t>Oct</t>
  </si>
  <si>
    <t>Nov</t>
  </si>
  <si>
    <t>Dec</t>
  </si>
  <si>
    <t>Rent</t>
  </si>
  <si>
    <t>Taxes</t>
  </si>
  <si>
    <t>Yearly</t>
  </si>
  <si>
    <t>Monthly</t>
  </si>
  <si>
    <t>total after pay out</t>
  </si>
  <si>
    <t>Year 0</t>
  </si>
  <si>
    <t>Hardware</t>
  </si>
  <si>
    <t>Software</t>
  </si>
  <si>
    <t xml:space="preserve">Hours </t>
  </si>
  <si>
    <t>hourly rate</t>
  </si>
  <si>
    <t>total payed</t>
  </si>
  <si>
    <t xml:space="preserve">app development </t>
  </si>
  <si>
    <t>Year 7</t>
  </si>
  <si>
    <t xml:space="preserve">monthly forecast </t>
  </si>
  <si>
    <t>cumulative</t>
  </si>
  <si>
    <t>yearly</t>
  </si>
  <si>
    <t>monthly</t>
  </si>
  <si>
    <t xml:space="preserve">1% added </t>
  </si>
  <si>
    <t>1% Lost</t>
  </si>
  <si>
    <t>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</si>
</sst>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£&quot;#,##0;[Red]\-&quot;£&quot;#,##0"/>
    <numFmt numFmtId="44" formatCode="_-&quot;£&quot;* #,##0.00_-;\-&quot;£&quot;* #,##0.00_-;_-&quot;£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rgb="FF820000"/>
        <bgColor indexed="64"/>
      </patternFill>
    </fill>
    <fill>
      <patternFill patternType="solid">
        <fgColor rgb="FFF20000"/>
        <bgColor indexed="64"/>
      </patternFill>
    </fill>
    <fill>
      <patternFill patternType="solid">
        <fgColor rgb="FFFF717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5" borderId="0" applyNumberFormat="0" applyBorder="0" applyAlignment="0" applyProtection="0"/>
  </cellStyleXfs>
  <cellXfs count="136">
    <xf numFmtId="0" fontId="0" fillId="0" borderId="0" xfId="0"/>
    <xf numFmtId="0" fontId="0" fillId="2" borderId="0" xfId="0" applyFill="1"/>
    <xf numFmtId="0" fontId="0" fillId="2" borderId="1" xfId="0" applyFill="1" applyBorder="1"/>
    <xf numFmtId="2" fontId="0" fillId="2" borderId="1" xfId="0" applyNumberFormat="1" applyFill="1" applyBorder="1"/>
    <xf numFmtId="44" fontId="0" fillId="2" borderId="1" xfId="1" applyFont="1" applyFill="1" applyBorder="1"/>
    <xf numFmtId="0" fontId="0" fillId="3" borderId="1" xfId="0" applyFill="1" applyBorder="1"/>
    <xf numFmtId="44" fontId="0" fillId="3" borderId="1" xfId="1" applyFont="1" applyFill="1" applyBorder="1"/>
    <xf numFmtId="0" fontId="0" fillId="4" borderId="0" xfId="0" applyFill="1"/>
    <xf numFmtId="0" fontId="0" fillId="4" borderId="1" xfId="0" applyFill="1" applyBorder="1"/>
    <xf numFmtId="6" fontId="0" fillId="4" borderId="1" xfId="0" applyNumberFormat="1" applyFill="1" applyBorder="1"/>
    <xf numFmtId="6" fontId="0" fillId="2" borderId="1" xfId="1" applyNumberFormat="1" applyFont="1" applyFill="1" applyBorder="1"/>
    <xf numFmtId="0" fontId="2" fillId="3" borderId="1" xfId="0" applyFont="1" applyFill="1" applyBorder="1"/>
    <xf numFmtId="6" fontId="0" fillId="3" borderId="1" xfId="0" applyNumberFormat="1" applyFill="1" applyBorder="1"/>
    <xf numFmtId="6" fontId="0" fillId="2" borderId="1" xfId="0" applyNumberFormat="1" applyFill="1" applyBorder="1"/>
    <xf numFmtId="44" fontId="0" fillId="0" borderId="0" xfId="1" applyFont="1"/>
    <xf numFmtId="44" fontId="0" fillId="0" borderId="0" xfId="0" applyNumberFormat="1"/>
    <xf numFmtId="44" fontId="0" fillId="0" borderId="3" xfId="1" applyFont="1" applyBorder="1"/>
    <xf numFmtId="44" fontId="0" fillId="0" borderId="0" xfId="1" applyFont="1" applyBorder="1"/>
    <xf numFmtId="0" fontId="3" fillId="5" borderId="6" xfId="3" applyFont="1" applyBorder="1"/>
    <xf numFmtId="44" fontId="3" fillId="5" borderId="6" xfId="3" applyNumberFormat="1" applyFont="1" applyBorder="1" applyAlignment="1">
      <alignment horizontal="left" vertical="center"/>
    </xf>
    <xf numFmtId="0" fontId="3" fillId="5" borderId="7" xfId="3" applyFont="1" applyBorder="1"/>
    <xf numFmtId="0" fontId="3" fillId="5" borderId="8" xfId="3" applyFont="1" applyBorder="1"/>
    <xf numFmtId="0" fontId="3" fillId="5" borderId="9" xfId="3" applyFont="1" applyBorder="1"/>
    <xf numFmtId="44" fontId="0" fillId="0" borderId="0" xfId="0" applyNumberFormat="1" applyBorder="1"/>
    <xf numFmtId="9" fontId="0" fillId="0" borderId="5" xfId="2" applyFont="1" applyBorder="1"/>
    <xf numFmtId="9" fontId="0" fillId="0" borderId="4" xfId="2" applyFont="1" applyBorder="1"/>
    <xf numFmtId="0" fontId="3" fillId="5" borderId="10" xfId="3" applyFont="1" applyBorder="1"/>
    <xf numFmtId="0" fontId="3" fillId="5" borderId="2" xfId="3" applyFont="1" applyBorder="1"/>
    <xf numFmtId="0" fontId="3" fillId="5" borderId="12" xfId="3" applyFont="1" applyBorder="1"/>
    <xf numFmtId="0" fontId="3" fillId="5" borderId="11" xfId="3" applyFont="1" applyBorder="1"/>
    <xf numFmtId="44" fontId="0" fillId="0" borderId="0" xfId="1" applyFont="1" applyFill="1" applyBorder="1"/>
    <xf numFmtId="0" fontId="3" fillId="5" borderId="13" xfId="3" applyFont="1" applyBorder="1"/>
    <xf numFmtId="9" fontId="0" fillId="0" borderId="0" xfId="2" applyFont="1" applyBorder="1"/>
    <xf numFmtId="0" fontId="0" fillId="0" borderId="0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3" fillId="5" borderId="16" xfId="3" applyFont="1" applyBorder="1"/>
    <xf numFmtId="0" fontId="3" fillId="5" borderId="17" xfId="3" applyFont="1" applyBorder="1"/>
    <xf numFmtId="0" fontId="3" fillId="5" borderId="14" xfId="3" applyFont="1" applyBorder="1"/>
    <xf numFmtId="0" fontId="3" fillId="5" borderId="15" xfId="3" applyFont="1" applyBorder="1"/>
    <xf numFmtId="44" fontId="0" fillId="0" borderId="5" xfId="1" applyFont="1" applyBorder="1"/>
    <xf numFmtId="44" fontId="0" fillId="0" borderId="4" xfId="1" applyFont="1" applyBorder="1"/>
    <xf numFmtId="0" fontId="3" fillId="5" borderId="18" xfId="3" applyFont="1" applyBorder="1"/>
    <xf numFmtId="9" fontId="3" fillId="5" borderId="19" xfId="2" applyFont="1" applyFill="1" applyBorder="1"/>
    <xf numFmtId="9" fontId="3" fillId="5" borderId="20" xfId="2" applyFont="1" applyFill="1" applyBorder="1"/>
    <xf numFmtId="9" fontId="3" fillId="5" borderId="21" xfId="2" applyFont="1" applyFill="1" applyBorder="1"/>
    <xf numFmtId="0" fontId="3" fillId="5" borderId="22" xfId="3" applyFont="1" applyBorder="1"/>
    <xf numFmtId="44" fontId="0" fillId="0" borderId="3" xfId="0" applyNumberFormat="1" applyBorder="1"/>
    <xf numFmtId="44" fontId="0" fillId="0" borderId="23" xfId="1" applyFont="1" applyBorder="1"/>
    <xf numFmtId="44" fontId="0" fillId="0" borderId="23" xfId="1" applyFont="1" applyFill="1" applyBorder="1"/>
    <xf numFmtId="44" fontId="0" fillId="0" borderId="0" xfId="0" applyNumberFormat="1" applyFill="1" applyBorder="1"/>
    <xf numFmtId="0" fontId="0" fillId="0" borderId="0" xfId="0" applyFill="1"/>
    <xf numFmtId="44" fontId="0" fillId="0" borderId="16" xfId="1" applyFont="1" applyFill="1" applyBorder="1"/>
    <xf numFmtId="44" fontId="0" fillId="0" borderId="24" xfId="1" applyFont="1" applyFill="1" applyBorder="1"/>
    <xf numFmtId="0" fontId="0" fillId="0" borderId="3" xfId="0" applyFill="1" applyBorder="1"/>
    <xf numFmtId="0" fontId="0" fillId="0" borderId="23" xfId="0" applyFill="1" applyBorder="1"/>
    <xf numFmtId="0" fontId="0" fillId="0" borderId="0" xfId="0" applyFill="1" applyBorder="1"/>
    <xf numFmtId="44" fontId="0" fillId="0" borderId="3" xfId="1" applyFont="1" applyFill="1" applyBorder="1"/>
    <xf numFmtId="0" fontId="0" fillId="0" borderId="18" xfId="0" applyFill="1" applyBorder="1"/>
    <xf numFmtId="0" fontId="0" fillId="0" borderId="5" xfId="0" applyFill="1" applyBorder="1"/>
    <xf numFmtId="44" fontId="0" fillId="0" borderId="4" xfId="1" applyFont="1" applyFill="1" applyBorder="1"/>
    <xf numFmtId="44" fontId="0" fillId="0" borderId="3" xfId="0" applyNumberFormat="1" applyFill="1" applyBorder="1"/>
    <xf numFmtId="9" fontId="0" fillId="0" borderId="18" xfId="2" applyFont="1" applyFill="1" applyBorder="1"/>
    <xf numFmtId="9" fontId="0" fillId="0" borderId="5" xfId="2" applyFont="1" applyFill="1" applyBorder="1"/>
    <xf numFmtId="9" fontId="0" fillId="0" borderId="4" xfId="2" applyFont="1" applyFill="1" applyBorder="1"/>
    <xf numFmtId="44" fontId="0" fillId="0" borderId="24" xfId="0" applyNumberFormat="1" applyFill="1" applyBorder="1"/>
    <xf numFmtId="44" fontId="0" fillId="0" borderId="25" xfId="0" applyNumberFormat="1" applyBorder="1"/>
    <xf numFmtId="44" fontId="0" fillId="0" borderId="5" xfId="0" applyNumberFormat="1" applyBorder="1"/>
    <xf numFmtId="44" fontId="0" fillId="0" borderId="4" xfId="0" applyNumberFormat="1" applyBorder="1"/>
    <xf numFmtId="0" fontId="0" fillId="0" borderId="24" xfId="0" applyFill="1" applyBorder="1"/>
    <xf numFmtId="9" fontId="0" fillId="0" borderId="0" xfId="2" applyFont="1" applyFill="1" applyBorder="1"/>
    <xf numFmtId="44" fontId="0" fillId="0" borderId="33" xfId="1" applyFont="1" applyBorder="1"/>
    <xf numFmtId="44" fontId="0" fillId="0" borderId="34" xfId="1" applyFont="1" applyBorder="1"/>
    <xf numFmtId="44" fontId="0" fillId="0" borderId="22" xfId="1" applyFont="1" applyBorder="1"/>
    <xf numFmtId="44" fontId="0" fillId="0" borderId="18" xfId="1" applyFont="1" applyBorder="1"/>
    <xf numFmtId="44" fontId="0" fillId="0" borderId="16" xfId="1" applyFont="1" applyBorder="1"/>
    <xf numFmtId="44" fontId="0" fillId="0" borderId="24" xfId="1" applyFont="1" applyBorder="1"/>
    <xf numFmtId="44" fontId="0" fillId="0" borderId="25" xfId="1" applyFont="1" applyBorder="1"/>
    <xf numFmtId="44" fontId="0" fillId="0" borderId="18" xfId="0" applyNumberFormat="1" applyBorder="1"/>
    <xf numFmtId="0" fontId="0" fillId="0" borderId="23" xfId="0" applyBorder="1"/>
    <xf numFmtId="9" fontId="0" fillId="0" borderId="0" xfId="0" applyNumberFormat="1"/>
    <xf numFmtId="44" fontId="0" fillId="0" borderId="4" xfId="0" applyNumberFormat="1" applyFill="1" applyBorder="1"/>
    <xf numFmtId="0" fontId="6" fillId="6" borderId="38" xfId="0" applyFont="1" applyFill="1" applyBorder="1"/>
    <xf numFmtId="0" fontId="6" fillId="6" borderId="10" xfId="0" applyFont="1" applyFill="1" applyBorder="1"/>
    <xf numFmtId="0" fontId="6" fillId="6" borderId="6" xfId="0" applyFont="1" applyFill="1" applyBorder="1"/>
    <xf numFmtId="0" fontId="6" fillId="6" borderId="7" xfId="0" applyFont="1" applyFill="1" applyBorder="1"/>
    <xf numFmtId="0" fontId="5" fillId="6" borderId="11" xfId="3" applyFont="1" applyFill="1" applyBorder="1"/>
    <xf numFmtId="0" fontId="5" fillId="6" borderId="9" xfId="3" applyFont="1" applyFill="1" applyBorder="1"/>
    <xf numFmtId="0" fontId="5" fillId="6" borderId="37" xfId="0" applyFont="1" applyFill="1" applyBorder="1"/>
    <xf numFmtId="0" fontId="5" fillId="6" borderId="17" xfId="0" applyFont="1" applyFill="1" applyBorder="1"/>
    <xf numFmtId="0" fontId="5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9" xfId="0" applyFont="1" applyFill="1" applyBorder="1"/>
    <xf numFmtId="0" fontId="6" fillId="6" borderId="17" xfId="0" applyFont="1" applyFill="1" applyBorder="1"/>
    <xf numFmtId="0" fontId="6" fillId="6" borderId="37" xfId="0" applyFont="1" applyFill="1" applyBorder="1"/>
    <xf numFmtId="0" fontId="6" fillId="6" borderId="8" xfId="0" applyFont="1" applyFill="1" applyBorder="1"/>
    <xf numFmtId="0" fontId="6" fillId="6" borderId="9" xfId="0" applyFont="1" applyFill="1" applyBorder="1"/>
    <xf numFmtId="0" fontId="6" fillId="6" borderId="29" xfId="0" applyFont="1" applyFill="1" applyBorder="1"/>
    <xf numFmtId="0" fontId="6" fillId="6" borderId="31" xfId="3" applyFont="1" applyFill="1" applyBorder="1"/>
    <xf numFmtId="0" fontId="6" fillId="6" borderId="32" xfId="0" applyFont="1" applyFill="1" applyBorder="1"/>
    <xf numFmtId="0" fontId="6" fillId="6" borderId="26" xfId="0" applyFont="1" applyFill="1" applyBorder="1"/>
    <xf numFmtId="0" fontId="6" fillId="6" borderId="27" xfId="0" applyFont="1" applyFill="1" applyBorder="1"/>
    <xf numFmtId="0" fontId="6" fillId="6" borderId="28" xfId="0" applyFont="1" applyFill="1" applyBorder="1"/>
    <xf numFmtId="0" fontId="6" fillId="6" borderId="6" xfId="3" applyFont="1" applyFill="1" applyBorder="1"/>
    <xf numFmtId="0" fontId="6" fillId="7" borderId="31" xfId="0" applyFont="1" applyFill="1" applyBorder="1"/>
    <xf numFmtId="0" fontId="6" fillId="8" borderId="16" xfId="0" applyFont="1" applyFill="1" applyBorder="1"/>
    <xf numFmtId="0" fontId="6" fillId="8" borderId="36" xfId="0" applyFont="1" applyFill="1" applyBorder="1"/>
    <xf numFmtId="0" fontId="6" fillId="8" borderId="31" xfId="0" applyFont="1" applyFill="1" applyBorder="1"/>
    <xf numFmtId="0" fontId="6" fillId="8" borderId="31" xfId="3" applyFont="1" applyFill="1" applyBorder="1"/>
    <xf numFmtId="0" fontId="6" fillId="8" borderId="35" xfId="0" applyFont="1" applyFill="1" applyBorder="1"/>
    <xf numFmtId="0" fontId="6" fillId="8" borderId="18" xfId="0" applyFont="1" applyFill="1" applyBorder="1"/>
    <xf numFmtId="0" fontId="6" fillId="9" borderId="18" xfId="0" applyFont="1" applyFill="1" applyBorder="1"/>
    <xf numFmtId="0" fontId="6" fillId="9" borderId="33" xfId="0" applyFont="1" applyFill="1" applyBorder="1"/>
    <xf numFmtId="0" fontId="6" fillId="6" borderId="33" xfId="0" applyFont="1" applyFill="1" applyBorder="1"/>
    <xf numFmtId="0" fontId="5" fillId="6" borderId="10" xfId="3" applyFont="1" applyFill="1" applyBorder="1"/>
    <xf numFmtId="0" fontId="5" fillId="6" borderId="6" xfId="3" applyFont="1" applyFill="1" applyBorder="1"/>
    <xf numFmtId="44" fontId="5" fillId="6" borderId="6" xfId="3" applyNumberFormat="1" applyFont="1" applyFill="1" applyBorder="1" applyAlignment="1">
      <alignment horizontal="left" vertical="center"/>
    </xf>
    <xf numFmtId="0" fontId="5" fillId="6" borderId="7" xfId="3" applyFont="1" applyFill="1" applyBorder="1"/>
    <xf numFmtId="0" fontId="6" fillId="6" borderId="12" xfId="0" applyFont="1" applyFill="1" applyBorder="1"/>
    <xf numFmtId="44" fontId="0" fillId="0" borderId="18" xfId="1" applyFont="1" applyFill="1" applyBorder="1"/>
    <xf numFmtId="44" fontId="0" fillId="0" borderId="24" xfId="0" applyNumberFormat="1" applyBorder="1"/>
    <xf numFmtId="44" fontId="0" fillId="0" borderId="5" xfId="1" applyFont="1" applyFill="1" applyBorder="1"/>
    <xf numFmtId="0" fontId="6" fillId="6" borderId="2" xfId="0" applyFont="1" applyFill="1" applyBorder="1"/>
    <xf numFmtId="0" fontId="6" fillId="6" borderId="11" xfId="0" applyFont="1" applyFill="1" applyBorder="1"/>
    <xf numFmtId="0" fontId="5" fillId="6" borderId="39" xfId="3" applyFont="1" applyFill="1" applyBorder="1"/>
    <xf numFmtId="0" fontId="5" fillId="6" borderId="17" xfId="3" applyFont="1" applyFill="1" applyBorder="1"/>
    <xf numFmtId="0" fontId="5" fillId="6" borderId="2" xfId="3" applyFont="1" applyFill="1" applyBorder="1"/>
    <xf numFmtId="0" fontId="5" fillId="6" borderId="13" xfId="3" applyFont="1" applyFill="1" applyBorder="1"/>
    <xf numFmtId="9" fontId="5" fillId="6" borderId="26" xfId="2" applyFont="1" applyFill="1" applyBorder="1"/>
    <xf numFmtId="9" fontId="5" fillId="6" borderId="27" xfId="2" applyFont="1" applyFill="1" applyBorder="1"/>
    <xf numFmtId="9" fontId="5" fillId="6" borderId="30" xfId="2" applyFont="1" applyFill="1" applyBorder="1"/>
    <xf numFmtId="0" fontId="5" fillId="6" borderId="8" xfId="3" applyFont="1" applyFill="1" applyBorder="1"/>
    <xf numFmtId="0" fontId="5" fillId="6" borderId="12" xfId="3" applyFont="1" applyFill="1" applyBorder="1"/>
    <xf numFmtId="44" fontId="6" fillId="6" borderId="2" xfId="1" applyFont="1" applyFill="1" applyBorder="1"/>
  </cellXfs>
  <cellStyles count="4">
    <cellStyle name="40% - Accent2" xfId="3" builtinId="35"/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7171"/>
      <color rgb="FFF20000"/>
      <color rgb="FFCC0000"/>
      <color rgb="FF8200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Break even chart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>
                  <a:lumMod val="65000"/>
                </a:schemeClr>
              </a:solidFill>
              <a:ln w="9525">
                <a:solidFill>
                  <a:srgbClr val="C00000"/>
                </a:solidFill>
              </a:ln>
              <a:effectLst/>
            </c:spPr>
          </c:marker>
          <c:cat>
            <c:strRef>
              <c:f>'Break Even'!$B$1:$L$1</c:f>
              <c:strCache>
                <c:ptCount val="11"/>
                <c:pt idx="0">
                  <c:v>year 0</c:v>
                </c:pt>
                <c:pt idx="1">
                  <c:v>year 1</c:v>
                </c:pt>
                <c:pt idx="2">
                  <c:v>year 2</c:v>
                </c:pt>
                <c:pt idx="3">
                  <c:v>year 3</c:v>
                </c:pt>
                <c:pt idx="4">
                  <c:v>year 4</c:v>
                </c:pt>
                <c:pt idx="5">
                  <c:v>year 5</c:v>
                </c:pt>
                <c:pt idx="6">
                  <c:v>year 6</c:v>
                </c:pt>
                <c:pt idx="7">
                  <c:v>year 7</c:v>
                </c:pt>
                <c:pt idx="8">
                  <c:v>year 8</c:v>
                </c:pt>
                <c:pt idx="9">
                  <c:v>year 9</c:v>
                </c:pt>
                <c:pt idx="10">
                  <c:v>year 10</c:v>
                </c:pt>
              </c:strCache>
            </c:strRef>
          </c:cat>
          <c:val>
            <c:numRef>
              <c:f>'Break Even'!$B$10:$L$10</c:f>
              <c:numCache>
                <c:formatCode>_("£"* #,##0.00_);_("£"* \(#,##0.00\);_("£"* "-"??_);_(@_)</c:formatCode>
                <c:ptCount val="11"/>
                <c:pt idx="0">
                  <c:v>60414</c:v>
                </c:pt>
                <c:pt idx="1">
                  <c:v>60655.55</c:v>
                </c:pt>
                <c:pt idx="2">
                  <c:v>61256.100000000006</c:v>
                </c:pt>
                <c:pt idx="3">
                  <c:v>64258.850000000006</c:v>
                </c:pt>
                <c:pt idx="4">
                  <c:v>65459.95</c:v>
                </c:pt>
                <c:pt idx="5">
                  <c:v>66661.05</c:v>
                </c:pt>
                <c:pt idx="6">
                  <c:v>67261.600000000006</c:v>
                </c:pt>
                <c:pt idx="7">
                  <c:v>68462.7</c:v>
                </c:pt>
                <c:pt idx="8">
                  <c:v>65459.95</c:v>
                </c:pt>
                <c:pt idx="9">
                  <c:v>64859.399999999994</c:v>
                </c:pt>
                <c:pt idx="10">
                  <c:v>61856.649999999994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AF-4BEA-993D-FD8769B75541}"/>
            </c:ext>
          </c:extLst>
        </c:ser>
        <c:ser>
          <c:idx val="1"/>
          <c:order val="1"/>
          <c:spPr>
            <a:ln w="28575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cat>
            <c:strRef>
              <c:f>'Break Even'!$B$1:$L$1</c:f>
              <c:strCache>
                <c:ptCount val="11"/>
                <c:pt idx="0">
                  <c:v>year 0</c:v>
                </c:pt>
                <c:pt idx="1">
                  <c:v>year 1</c:v>
                </c:pt>
                <c:pt idx="2">
                  <c:v>year 2</c:v>
                </c:pt>
                <c:pt idx="3">
                  <c:v>year 3</c:v>
                </c:pt>
                <c:pt idx="4">
                  <c:v>year 4</c:v>
                </c:pt>
                <c:pt idx="5">
                  <c:v>year 5</c:v>
                </c:pt>
                <c:pt idx="6">
                  <c:v>year 6</c:v>
                </c:pt>
                <c:pt idx="7">
                  <c:v>year 7</c:v>
                </c:pt>
                <c:pt idx="8">
                  <c:v>year 8</c:v>
                </c:pt>
                <c:pt idx="9">
                  <c:v>year 9</c:v>
                </c:pt>
                <c:pt idx="10">
                  <c:v>year 10</c:v>
                </c:pt>
              </c:strCache>
            </c:strRef>
          </c:cat>
          <c:val>
            <c:numRef>
              <c:f>'Break Even'!$B$15:$L$15</c:f>
              <c:numCache>
                <c:formatCode>_("£"* #,##0.00_);_("£"* \(#,##0.00\);_("£"* "-"??_);_(@_)</c:formatCode>
                <c:ptCount val="11"/>
                <c:pt idx="0">
                  <c:v>0</c:v>
                </c:pt>
                <c:pt idx="1">
                  <c:v>18200</c:v>
                </c:pt>
                <c:pt idx="2">
                  <c:v>9750</c:v>
                </c:pt>
                <c:pt idx="3">
                  <c:v>36400</c:v>
                </c:pt>
                <c:pt idx="4">
                  <c:v>45500</c:v>
                </c:pt>
                <c:pt idx="5">
                  <c:v>54600</c:v>
                </c:pt>
                <c:pt idx="6">
                  <c:v>71050</c:v>
                </c:pt>
                <c:pt idx="7">
                  <c:v>80150</c:v>
                </c:pt>
                <c:pt idx="8">
                  <c:v>89250</c:v>
                </c:pt>
                <c:pt idx="9">
                  <c:v>98350</c:v>
                </c:pt>
                <c:pt idx="10">
                  <c:v>107450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AF-4BEA-993D-FD8769B75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4230559"/>
        <c:axId val="1774222239"/>
      </c:lineChart>
      <c:catAx>
        <c:axId val="17742305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4222239"/>
        <c:crosses val="autoZero"/>
        <c:auto val="1"/>
        <c:lblAlgn val="ctr"/>
        <c:lblOffset val="100"/>
        <c:noMultiLvlLbl val="0"/>
      </c:catAx>
      <c:valAx>
        <c:axId val="1774222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Cost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£&quot;* #,##0.00_);_(&quot;£&quot;* \(#,##0.00\);_(&quot;£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4230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Sales Forecast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'Sales Forecast'!$B$1</c:f>
              <c:strCache>
                <c:ptCount val="1"/>
                <c:pt idx="0">
                  <c:v>monthly forecast 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'Sales Forecast'!$A$2:$A$13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'Sales Forecast'!$B$2:$B$13</c:f>
              <c:numCache>
                <c:formatCode>_("£"* #,##0.00_);_("£"* \(#,##0.00\);_("£"* "-"??_);_(@_)</c:formatCode>
                <c:ptCount val="12"/>
                <c:pt idx="0">
                  <c:v>1516.67</c:v>
                </c:pt>
                <c:pt idx="1">
                  <c:v>1516.67</c:v>
                </c:pt>
                <c:pt idx="2">
                  <c:v>1516.67</c:v>
                </c:pt>
                <c:pt idx="3">
                  <c:v>1516.67</c:v>
                </c:pt>
                <c:pt idx="4">
                  <c:v>1516.67</c:v>
                </c:pt>
                <c:pt idx="5">
                  <c:v>1516.67</c:v>
                </c:pt>
                <c:pt idx="6">
                  <c:v>1516.67</c:v>
                </c:pt>
                <c:pt idx="7">
                  <c:v>1516.67</c:v>
                </c:pt>
                <c:pt idx="8">
                  <c:v>1516.67</c:v>
                </c:pt>
                <c:pt idx="9">
                  <c:v>1516.67</c:v>
                </c:pt>
                <c:pt idx="10">
                  <c:v>1516.67</c:v>
                </c:pt>
                <c:pt idx="11">
                  <c:v>1516.67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68-4CA2-94E2-0FDA0FA14BE7}"/>
            </c:ext>
          </c:extLst>
        </c:ser>
        <c:ser>
          <c:idx val="1"/>
          <c:order val="1"/>
          <c:tx>
            <c:strRef>
              <c:f>'Sales Forecast'!$C$1</c:f>
              <c:strCache>
                <c:ptCount val="1"/>
                <c:pt idx="0">
                  <c:v>cumulative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'Sales Forecast'!$A$2:$A$13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'Sales Forecast'!$C$2:$C$13</c:f>
              <c:numCache>
                <c:formatCode>_("£"* #,##0.00_);_("£"* \(#,##0.00\);_("£"* "-"??_);_(@_)</c:formatCode>
                <c:ptCount val="12"/>
                <c:pt idx="0">
                  <c:v>1516.67</c:v>
                </c:pt>
                <c:pt idx="1">
                  <c:v>3033.34</c:v>
                </c:pt>
                <c:pt idx="2">
                  <c:v>4550.01</c:v>
                </c:pt>
                <c:pt idx="3">
                  <c:v>6066.68</c:v>
                </c:pt>
                <c:pt idx="4">
                  <c:v>7583.35</c:v>
                </c:pt>
                <c:pt idx="5">
                  <c:v>9100.02</c:v>
                </c:pt>
                <c:pt idx="6">
                  <c:v>10616.69</c:v>
                </c:pt>
                <c:pt idx="7">
                  <c:v>12133.36</c:v>
                </c:pt>
                <c:pt idx="8">
                  <c:v>13650.03</c:v>
                </c:pt>
                <c:pt idx="9">
                  <c:v>15166.7</c:v>
                </c:pt>
                <c:pt idx="10">
                  <c:v>16683.370000000003</c:v>
                </c:pt>
                <c:pt idx="11">
                  <c:v>18200.04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68-4CA2-94E2-0FDA0FA14B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0358896"/>
        <c:axId val="590358568"/>
      </c:barChart>
      <c:catAx>
        <c:axId val="59035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358568"/>
        <c:crosses val="autoZero"/>
        <c:auto val="1"/>
        <c:lblAlgn val="ctr"/>
        <c:lblOffset val="100"/>
        <c:noMultiLvlLbl val="0"/>
      </c:catAx>
      <c:valAx>
        <c:axId val="59035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£&quot;* #,##0.00_);_(&quot;£&quot;* \(#,##0.00\);_(&quot;£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35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Sales forecate 1%</a:t>
            </a:r>
            <a:r>
              <a:rPr lang="en-GB" baseline="0"/>
              <a:t> Added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'Sales Forecast'!$B$17</c:f>
              <c:strCache>
                <c:ptCount val="1"/>
                <c:pt idx="0">
                  <c:v>monthly forecast 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'Sales Forecast'!$A$18:$A$29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'Sales Forecast'!$B$18:$B$29</c:f>
              <c:numCache>
                <c:formatCode>_("£"* #,##0.00_);_("£"* \(#,##0.00\);_("£"* "-"??_);_(@_)</c:formatCode>
                <c:ptCount val="12"/>
                <c:pt idx="0" formatCode="General">
                  <c:v>1516.67</c:v>
                </c:pt>
                <c:pt idx="1">
                  <c:v>1531.8400000000001</c:v>
                </c:pt>
                <c:pt idx="2">
                  <c:v>1547.0100000000002</c:v>
                </c:pt>
                <c:pt idx="3">
                  <c:v>1562.1800000000003</c:v>
                </c:pt>
                <c:pt idx="4">
                  <c:v>1577.3500000000004</c:v>
                </c:pt>
                <c:pt idx="5">
                  <c:v>1592.5200000000004</c:v>
                </c:pt>
                <c:pt idx="6">
                  <c:v>1607.6900000000005</c:v>
                </c:pt>
                <c:pt idx="7">
                  <c:v>1622.8600000000006</c:v>
                </c:pt>
                <c:pt idx="8">
                  <c:v>1638.0300000000007</c:v>
                </c:pt>
                <c:pt idx="9">
                  <c:v>1653.2000000000007</c:v>
                </c:pt>
                <c:pt idx="10">
                  <c:v>1668.3700000000008</c:v>
                </c:pt>
                <c:pt idx="11">
                  <c:v>1683.5400000000009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A0-425C-9495-4313E1D4067D}"/>
            </c:ext>
          </c:extLst>
        </c:ser>
        <c:ser>
          <c:idx val="1"/>
          <c:order val="1"/>
          <c:tx>
            <c:strRef>
              <c:f>'Sales Forecast'!$C$17</c:f>
              <c:strCache>
                <c:ptCount val="1"/>
                <c:pt idx="0">
                  <c:v>cumulative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'Sales Forecast'!$A$18:$A$29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'Sales Forecast'!$C$18:$C$29</c:f>
              <c:numCache>
                <c:formatCode>_("£"* #,##0.00_);_("£"* \(#,##0.00\);_("£"* "-"??_);_(@_)</c:formatCode>
                <c:ptCount val="12"/>
                <c:pt idx="0" formatCode="General">
                  <c:v>1516.67</c:v>
                </c:pt>
                <c:pt idx="1">
                  <c:v>3048.51</c:v>
                </c:pt>
                <c:pt idx="2">
                  <c:v>4595.5200000000004</c:v>
                </c:pt>
                <c:pt idx="3">
                  <c:v>6157.7000000000007</c:v>
                </c:pt>
                <c:pt idx="4">
                  <c:v>7735.0500000000011</c:v>
                </c:pt>
                <c:pt idx="5">
                  <c:v>9327.5700000000015</c:v>
                </c:pt>
                <c:pt idx="6">
                  <c:v>10935.260000000002</c:v>
                </c:pt>
                <c:pt idx="7">
                  <c:v>12558.120000000003</c:v>
                </c:pt>
                <c:pt idx="8">
                  <c:v>14196.150000000003</c:v>
                </c:pt>
                <c:pt idx="9">
                  <c:v>15849.350000000004</c:v>
                </c:pt>
                <c:pt idx="10">
                  <c:v>17517.720000000005</c:v>
                </c:pt>
                <c:pt idx="11">
                  <c:v>19201.260000000006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A0-425C-9495-4313E1D40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4426432"/>
        <c:axId val="584426760"/>
      </c:barChart>
      <c:catAx>
        <c:axId val="58442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4426760"/>
        <c:crosses val="autoZero"/>
        <c:auto val="1"/>
        <c:lblAlgn val="ctr"/>
        <c:lblOffset val="100"/>
        <c:noMultiLvlLbl val="0"/>
      </c:catAx>
      <c:valAx>
        <c:axId val="584426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4426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Sales Forecast 1% Lost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'Sales Forecast'!$B$31</c:f>
              <c:strCache>
                <c:ptCount val="1"/>
                <c:pt idx="0">
                  <c:v>monthly forecast 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'Sales Forecast'!$A$32:$A$43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'Sales Forecast'!$B$32:$B$43</c:f>
              <c:numCache>
                <c:formatCode>_("£"* #,##0.00_);_("£"* \(#,##0.00\);_("£"* "-"??_);_(@_)</c:formatCode>
                <c:ptCount val="12"/>
                <c:pt idx="0" formatCode="General">
                  <c:v>1516.67</c:v>
                </c:pt>
                <c:pt idx="1">
                  <c:v>1501.5</c:v>
                </c:pt>
                <c:pt idx="2">
                  <c:v>1486.33</c:v>
                </c:pt>
                <c:pt idx="3">
                  <c:v>1471.1599999999999</c:v>
                </c:pt>
                <c:pt idx="4">
                  <c:v>1455.9899999999998</c:v>
                </c:pt>
                <c:pt idx="5">
                  <c:v>1440.8199999999997</c:v>
                </c:pt>
                <c:pt idx="6">
                  <c:v>1425.6499999999996</c:v>
                </c:pt>
                <c:pt idx="7">
                  <c:v>1410.4799999999996</c:v>
                </c:pt>
                <c:pt idx="8">
                  <c:v>1395.3099999999995</c:v>
                </c:pt>
                <c:pt idx="9">
                  <c:v>1380.1399999999994</c:v>
                </c:pt>
                <c:pt idx="10">
                  <c:v>1364.9699999999993</c:v>
                </c:pt>
                <c:pt idx="11">
                  <c:v>1349.7999999999993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8D-4A8C-94F6-53703904FFBC}"/>
            </c:ext>
          </c:extLst>
        </c:ser>
        <c:ser>
          <c:idx val="1"/>
          <c:order val="1"/>
          <c:tx>
            <c:strRef>
              <c:f>'Sales Forecast'!$C$31</c:f>
              <c:strCache>
                <c:ptCount val="1"/>
                <c:pt idx="0">
                  <c:v>cumulative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'Sales Forecast'!$A$32:$A$43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'Sales Forecast'!$C$32:$C$43</c:f>
              <c:numCache>
                <c:formatCode>_("£"* #,##0.00_);_("£"* \(#,##0.00\);_("£"* "-"??_);_(@_)</c:formatCode>
                <c:ptCount val="12"/>
                <c:pt idx="0" formatCode="General">
                  <c:v>1516.67</c:v>
                </c:pt>
                <c:pt idx="1">
                  <c:v>3018.17</c:v>
                </c:pt>
                <c:pt idx="2">
                  <c:v>4504.5</c:v>
                </c:pt>
                <c:pt idx="3">
                  <c:v>5975.66</c:v>
                </c:pt>
                <c:pt idx="4">
                  <c:v>7431.65</c:v>
                </c:pt>
                <c:pt idx="5">
                  <c:v>8872.4699999999993</c:v>
                </c:pt>
                <c:pt idx="6">
                  <c:v>10298.119999999999</c:v>
                </c:pt>
                <c:pt idx="7">
                  <c:v>11708.599999999999</c:v>
                </c:pt>
                <c:pt idx="8">
                  <c:v>13103.909999999998</c:v>
                </c:pt>
                <c:pt idx="9">
                  <c:v>14484.049999999997</c:v>
                </c:pt>
                <c:pt idx="10">
                  <c:v>15849.019999999997</c:v>
                </c:pt>
                <c:pt idx="11">
                  <c:v>17198.819999999996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8D-4A8C-94F6-53703904FF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0376936"/>
        <c:axId val="590374312"/>
      </c:barChart>
      <c:catAx>
        <c:axId val="590376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374312"/>
        <c:crosses val="autoZero"/>
        <c:auto val="1"/>
        <c:lblAlgn val="ctr"/>
        <c:lblOffset val="100"/>
        <c:noMultiLvlLbl val="0"/>
      </c:catAx>
      <c:valAx>
        <c:axId val="590374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376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66221</xdr:colOff>
      <xdr:row>38</xdr:row>
      <xdr:rowOff>87995</xdr:rowOff>
    </xdr:from>
    <xdr:to>
      <xdr:col>8</xdr:col>
      <xdr:colOff>361950</xdr:colOff>
      <xdr:row>53</xdr:row>
      <xdr:rowOff>46266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CE63B4-6947-4181-A5E5-38F46DBA20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561975</xdr:colOff>
      <xdr:row>0</xdr:row>
      <xdr:rowOff>0</xdr:rowOff>
    </xdr:from>
    <xdr:to>
      <xdr:col>16</xdr:col>
      <xdr:colOff>361950</xdr:colOff>
      <xdr:row>14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581025</xdr:colOff>
      <xdr:row>14</xdr:row>
      <xdr:rowOff>47625</xdr:rowOff>
    </xdr:from>
    <xdr:to>
      <xdr:col>16</xdr:col>
      <xdr:colOff>381000</xdr:colOff>
      <xdr:row>28</xdr:row>
      <xdr:rowOff>104775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571500</xdr:colOff>
      <xdr:row>28</xdr:row>
      <xdr:rowOff>104775</xdr:rowOff>
    </xdr:from>
    <xdr:to>
      <xdr:col>16</xdr:col>
      <xdr:colOff>371475</xdr:colOff>
      <xdr:row>42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opLeftCell="C1" zoomScale="85" zoomScaleNormal="85" workbookViewId="0">
      <selection activeCell="E28" sqref="E28"/>
    </sheetView>
  </sheetViews>
  <sheetFormatPr defaultRowHeight="15" x14ac:dyDescent="0.25"/>
  <cols>
    <col min="1" max="1" width="33.140625" bestFit="1" customWidth="1"/>
    <col min="2" max="2" width="43.28515625" bestFit="1" customWidth="1"/>
    <col min="3" max="3" width="59.85546875" bestFit="1" customWidth="1"/>
    <col min="4" max="4" width="42.7109375" bestFit="1" customWidth="1"/>
    <col min="5" max="5" width="71.28515625" bestFit="1" customWidth="1"/>
    <col min="6" max="6" width="42.7109375" bestFit="1" customWidth="1"/>
    <col min="7" max="7" width="59.85546875" bestFit="1" customWidth="1"/>
    <col min="9" max="9" width="33.140625" bestFit="1" customWidth="1"/>
    <col min="10" max="10" width="71.28515625" bestFit="1" customWidth="1"/>
  </cols>
  <sheetData>
    <row r="1" spans="1:10" x14ac:dyDescent="0.25">
      <c r="A1" s="2" t="s">
        <v>12</v>
      </c>
      <c r="B1" s="2" t="s">
        <v>14</v>
      </c>
      <c r="C1" s="2" t="s">
        <v>55</v>
      </c>
      <c r="D1" s="5" t="s">
        <v>15</v>
      </c>
      <c r="E1" s="5" t="s">
        <v>55</v>
      </c>
      <c r="F1" s="8" t="s">
        <v>16</v>
      </c>
      <c r="G1" s="8" t="s">
        <v>55</v>
      </c>
      <c r="I1" t="s">
        <v>11</v>
      </c>
      <c r="J1" t="s">
        <v>5</v>
      </c>
    </row>
    <row r="2" spans="1:10" x14ac:dyDescent="0.25">
      <c r="A2" s="2" t="s">
        <v>13</v>
      </c>
      <c r="B2" s="3" t="s">
        <v>22</v>
      </c>
      <c r="C2" s="2" t="s">
        <v>42</v>
      </c>
      <c r="D2" s="5" t="s">
        <v>23</v>
      </c>
      <c r="E2" s="5" t="s">
        <v>42</v>
      </c>
      <c r="F2" s="9" t="s">
        <v>56</v>
      </c>
      <c r="G2" s="8"/>
      <c r="I2" t="s">
        <v>0</v>
      </c>
      <c r="J2" t="s">
        <v>6</v>
      </c>
    </row>
    <row r="3" spans="1:10" x14ac:dyDescent="0.25">
      <c r="A3" s="2" t="s">
        <v>17</v>
      </c>
      <c r="B3" s="2" t="s">
        <v>18</v>
      </c>
      <c r="C3" s="2" t="s">
        <v>43</v>
      </c>
      <c r="D3" s="5" t="s">
        <v>19</v>
      </c>
      <c r="E3" s="5" t="s">
        <v>43</v>
      </c>
      <c r="F3" s="8" t="s">
        <v>20</v>
      </c>
      <c r="G3" s="8"/>
      <c r="I3" t="s">
        <v>1</v>
      </c>
      <c r="J3" t="s">
        <v>7</v>
      </c>
    </row>
    <row r="4" spans="1:10" x14ac:dyDescent="0.25">
      <c r="A4" s="2" t="s">
        <v>21</v>
      </c>
      <c r="B4" s="2" t="s">
        <v>39</v>
      </c>
      <c r="C4" s="2" t="s">
        <v>44</v>
      </c>
      <c r="D4" s="5" t="s">
        <v>40</v>
      </c>
      <c r="E4" s="5" t="s">
        <v>45</v>
      </c>
      <c r="F4" s="8" t="s">
        <v>41</v>
      </c>
      <c r="G4" s="8" t="s">
        <v>46</v>
      </c>
      <c r="I4" t="s">
        <v>2</v>
      </c>
      <c r="J4" t="s">
        <v>9</v>
      </c>
    </row>
    <row r="5" spans="1:10" x14ac:dyDescent="0.25">
      <c r="A5" s="2" t="s">
        <v>47</v>
      </c>
      <c r="B5" s="10" t="s">
        <v>48</v>
      </c>
      <c r="C5" s="2" t="s">
        <v>52</v>
      </c>
      <c r="D5" s="5" t="s">
        <v>49</v>
      </c>
      <c r="E5" s="5" t="s">
        <v>53</v>
      </c>
      <c r="F5" s="7" t="s">
        <v>50</v>
      </c>
      <c r="G5" s="8" t="s">
        <v>54</v>
      </c>
      <c r="I5" t="s">
        <v>3</v>
      </c>
      <c r="J5" t="s">
        <v>8</v>
      </c>
    </row>
    <row r="6" spans="1:10" x14ac:dyDescent="0.25">
      <c r="A6" s="1" t="s">
        <v>51</v>
      </c>
      <c r="B6" s="2" t="s">
        <v>62</v>
      </c>
      <c r="C6" s="2" t="s">
        <v>63</v>
      </c>
      <c r="D6" s="5" t="s">
        <v>62</v>
      </c>
      <c r="E6" s="5" t="s">
        <v>63</v>
      </c>
      <c r="F6" s="8" t="s">
        <v>62</v>
      </c>
      <c r="G6" s="8" t="s">
        <v>63</v>
      </c>
      <c r="I6" t="s">
        <v>4</v>
      </c>
    </row>
    <row r="7" spans="1:10" x14ac:dyDescent="0.25">
      <c r="A7" s="2" t="s">
        <v>57</v>
      </c>
      <c r="B7" s="2" t="s">
        <v>58</v>
      </c>
      <c r="C7" s="2" t="s">
        <v>61</v>
      </c>
      <c r="D7" s="5" t="s">
        <v>58</v>
      </c>
      <c r="E7" s="5" t="s">
        <v>61</v>
      </c>
      <c r="F7" s="8" t="s">
        <v>59</v>
      </c>
      <c r="G7" s="8" t="s">
        <v>60</v>
      </c>
    </row>
    <row r="8" spans="1:10" x14ac:dyDescent="0.25">
      <c r="A8" s="2" t="s">
        <v>64</v>
      </c>
      <c r="B8" s="13">
        <v>14472</v>
      </c>
      <c r="C8" s="2"/>
      <c r="D8" s="12">
        <v>28943</v>
      </c>
      <c r="E8" s="5"/>
      <c r="F8" s="9">
        <v>43415</v>
      </c>
      <c r="G8" s="8"/>
      <c r="I8" t="s">
        <v>10</v>
      </c>
    </row>
    <row r="9" spans="1:10" x14ac:dyDescent="0.25">
      <c r="A9" s="2"/>
      <c r="B9" s="2"/>
      <c r="C9" s="2"/>
      <c r="D9" s="11"/>
      <c r="E9" s="11"/>
      <c r="F9" s="8"/>
      <c r="G9" s="8"/>
    </row>
    <row r="10" spans="1:10" x14ac:dyDescent="0.25">
      <c r="A10" s="2"/>
      <c r="B10" s="2"/>
      <c r="C10" s="2"/>
      <c r="D10" s="11"/>
      <c r="E10" s="11"/>
      <c r="F10" s="8"/>
      <c r="G10" s="8"/>
    </row>
    <row r="11" spans="1:10" x14ac:dyDescent="0.25">
      <c r="A11" s="2"/>
      <c r="B11" s="2"/>
      <c r="C11" s="2"/>
      <c r="D11" s="11"/>
      <c r="E11" s="11"/>
      <c r="F11" s="8"/>
      <c r="G11" s="8"/>
    </row>
    <row r="12" spans="1:10" x14ac:dyDescent="0.25">
      <c r="A12" s="2"/>
      <c r="B12" s="2"/>
      <c r="C12" s="2"/>
      <c r="D12" s="11"/>
      <c r="E12" s="11"/>
      <c r="F12" s="8"/>
      <c r="G12" s="8"/>
    </row>
    <row r="13" spans="1:10" x14ac:dyDescent="0.25">
      <c r="A13" s="2"/>
      <c r="B13" s="2"/>
      <c r="C13" s="2"/>
      <c r="D13" s="11"/>
      <c r="E13" s="11"/>
      <c r="F13" s="8"/>
      <c r="G13" s="8"/>
    </row>
    <row r="14" spans="1:10" x14ac:dyDescent="0.25">
      <c r="A14" s="2"/>
      <c r="B14" s="2"/>
      <c r="C14" s="2"/>
      <c r="D14" s="11"/>
      <c r="E14" s="11"/>
      <c r="F14" s="8"/>
      <c r="G14" s="8"/>
    </row>
    <row r="15" spans="1:10" x14ac:dyDescent="0.25">
      <c r="A15" s="2" t="s">
        <v>32</v>
      </c>
      <c r="B15" s="2"/>
      <c r="C15" s="2"/>
      <c r="D15" s="5" t="s">
        <v>32</v>
      </c>
      <c r="E15" s="5"/>
      <c r="F15" s="8" t="s">
        <v>34</v>
      </c>
      <c r="G15" s="8"/>
    </row>
    <row r="16" spans="1:10" x14ac:dyDescent="0.25">
      <c r="A16" s="2" t="s">
        <v>26</v>
      </c>
      <c r="B16" s="2" t="s">
        <v>27</v>
      </c>
      <c r="C16" s="2"/>
      <c r="D16" s="5" t="s">
        <v>30</v>
      </c>
      <c r="E16" s="5" t="s">
        <v>27</v>
      </c>
      <c r="F16" s="8" t="s">
        <v>37</v>
      </c>
      <c r="G16" s="8" t="s">
        <v>38</v>
      </c>
    </row>
    <row r="17" spans="1:7" x14ac:dyDescent="0.25">
      <c r="A17" s="4">
        <v>43800</v>
      </c>
      <c r="B17" s="4">
        <v>109500</v>
      </c>
      <c r="C17" s="2"/>
      <c r="D17" s="6">
        <f>SUM(D25*20)</f>
        <v>58400</v>
      </c>
      <c r="E17" s="6">
        <f>SUM(70*D25)</f>
        <v>204400</v>
      </c>
      <c r="F17" s="8">
        <f>SUM(F24*20)</f>
        <v>131400</v>
      </c>
      <c r="G17" s="8">
        <f>SUM(100*F24)</f>
        <v>657000</v>
      </c>
    </row>
    <row r="18" spans="1:7" x14ac:dyDescent="0.25">
      <c r="A18" s="4">
        <v>73000</v>
      </c>
      <c r="B18" s="4">
        <v>182500</v>
      </c>
      <c r="C18" s="2"/>
      <c r="D18" s="6">
        <f>SUM(D26*20)</f>
        <v>131400</v>
      </c>
      <c r="E18" s="6">
        <f>SUM(70*D26)</f>
        <v>459900</v>
      </c>
      <c r="F18" s="7"/>
      <c r="G18" s="8"/>
    </row>
    <row r="19" spans="1:7" x14ac:dyDescent="0.25">
      <c r="A19" s="4" t="s">
        <v>28</v>
      </c>
      <c r="B19" s="4"/>
      <c r="C19" s="2"/>
      <c r="D19" s="6" t="s">
        <v>33</v>
      </c>
      <c r="E19" s="6"/>
      <c r="F19" s="8" t="s">
        <v>28</v>
      </c>
      <c r="G19" s="8"/>
    </row>
    <row r="20" spans="1:7" x14ac:dyDescent="0.25">
      <c r="A20" s="4" t="s">
        <v>26</v>
      </c>
      <c r="B20" s="4" t="s">
        <v>27</v>
      </c>
      <c r="C20" s="2"/>
      <c r="D20" s="6" t="s">
        <v>30</v>
      </c>
      <c r="E20" s="6" t="s">
        <v>27</v>
      </c>
      <c r="F20" s="8" t="s">
        <v>35</v>
      </c>
      <c r="G20" s="8" t="s">
        <v>36</v>
      </c>
    </row>
    <row r="21" spans="1:7" x14ac:dyDescent="0.25">
      <c r="A21" s="4">
        <v>43800</v>
      </c>
      <c r="B21" s="4">
        <v>120450</v>
      </c>
      <c r="C21" s="2"/>
      <c r="D21" s="6">
        <f>SUM(D25*20)</f>
        <v>58400</v>
      </c>
      <c r="E21" s="6">
        <f>SUM(D25*75)</f>
        <v>219000</v>
      </c>
      <c r="F21" s="8">
        <f>SUM(20*F24)</f>
        <v>131400</v>
      </c>
      <c r="G21" s="8">
        <f>SUM(120*F24)</f>
        <v>788400</v>
      </c>
    </row>
    <row r="22" spans="1:7" x14ac:dyDescent="0.25">
      <c r="A22" s="4">
        <v>73000</v>
      </c>
      <c r="B22" s="4">
        <v>200750</v>
      </c>
      <c r="C22" s="2"/>
      <c r="D22" s="6">
        <f>SUM(D26*20)</f>
        <v>131400</v>
      </c>
      <c r="E22" s="6">
        <f>SUM(D26*75)</f>
        <v>492750</v>
      </c>
      <c r="F22" s="8"/>
      <c r="G22" s="8"/>
    </row>
    <row r="23" spans="1:7" x14ac:dyDescent="0.25">
      <c r="A23" s="4"/>
      <c r="B23" s="4"/>
      <c r="C23" s="2"/>
      <c r="D23" s="5"/>
      <c r="E23" s="6"/>
      <c r="F23" s="8"/>
      <c r="G23" s="8"/>
    </row>
    <row r="24" spans="1:7" x14ac:dyDescent="0.25">
      <c r="A24" s="2" t="s">
        <v>29</v>
      </c>
      <c r="B24" s="2"/>
      <c r="C24" s="2"/>
      <c r="D24" s="5" t="s">
        <v>31</v>
      </c>
      <c r="E24" s="5"/>
      <c r="F24" s="8">
        <v>6570</v>
      </c>
      <c r="G24" s="8"/>
    </row>
    <row r="25" spans="1:7" x14ac:dyDescent="0.25">
      <c r="A25" s="2" t="s">
        <v>24</v>
      </c>
      <c r="B25" s="2"/>
      <c r="C25" s="2"/>
      <c r="D25" s="5">
        <v>2920</v>
      </c>
      <c r="E25" s="5"/>
      <c r="F25" s="8"/>
      <c r="G25" s="8"/>
    </row>
    <row r="26" spans="1:7" x14ac:dyDescent="0.25">
      <c r="A26" s="2" t="s">
        <v>25</v>
      </c>
      <c r="B26" s="2"/>
      <c r="C26" s="2"/>
      <c r="D26" s="5">
        <v>6570</v>
      </c>
      <c r="E26" s="5"/>
      <c r="F26" s="8"/>
      <c r="G26" s="8"/>
    </row>
    <row r="27" spans="1:7" x14ac:dyDescent="0.25">
      <c r="E27" t="s">
        <v>66</v>
      </c>
    </row>
    <row r="28" spans="1:7" x14ac:dyDescent="0.25">
      <c r="D28" t="s">
        <v>65</v>
      </c>
      <c r="E28" s="14">
        <f>SUM(20*D25)</f>
        <v>58400</v>
      </c>
      <c r="G28">
        <f>20000+900+3000</f>
        <v>23900</v>
      </c>
    </row>
    <row r="29" spans="1:7" x14ac:dyDescent="0.25">
      <c r="E29" s="14">
        <f>SUM(20*D26)</f>
        <v>131400</v>
      </c>
      <c r="F29" s="14">
        <v>131400</v>
      </c>
    </row>
    <row r="30" spans="1:7" x14ac:dyDescent="0.25">
      <c r="E30" t="s">
        <v>67</v>
      </c>
    </row>
    <row r="31" spans="1:7" x14ac:dyDescent="0.25">
      <c r="D31" t="s">
        <v>68</v>
      </c>
      <c r="E31" s="14">
        <f>SUM(20*730.001)</f>
        <v>14600.02</v>
      </c>
      <c r="F31" s="15">
        <f>SUM(E31*12)</f>
        <v>175200.24</v>
      </c>
      <c r="G31">
        <v>175200.24</v>
      </c>
    </row>
    <row r="32" spans="1:7" x14ac:dyDescent="0.25">
      <c r="D32" t="s">
        <v>69</v>
      </c>
      <c r="E32" s="14">
        <v>820</v>
      </c>
      <c r="F32" s="15">
        <f>SUM(E32*12)</f>
        <v>9840</v>
      </c>
      <c r="G32">
        <v>9840</v>
      </c>
    </row>
    <row r="33" spans="4:7" x14ac:dyDescent="0.25">
      <c r="D33" t="s">
        <v>70</v>
      </c>
      <c r="E33" s="14">
        <v>75</v>
      </c>
      <c r="F33" s="15">
        <f>SUM(E33*12)</f>
        <v>900</v>
      </c>
      <c r="G33">
        <v>1</v>
      </c>
    </row>
    <row r="34" spans="4:7" x14ac:dyDescent="0.25">
      <c r="D34" t="s">
        <v>71</v>
      </c>
      <c r="E34" s="14">
        <v>15693</v>
      </c>
      <c r="F34" s="15">
        <f>SUM(E34*12)</f>
        <v>188316</v>
      </c>
      <c r="G34">
        <v>188316</v>
      </c>
    </row>
    <row r="35" spans="4:7" x14ac:dyDescent="0.25">
      <c r="D35" t="s">
        <v>72</v>
      </c>
      <c r="E35" s="14">
        <f>SUM(E31:E34)</f>
        <v>31188.02</v>
      </c>
      <c r="F35" s="15">
        <f>SUM(F31:F34)</f>
        <v>374256.24</v>
      </c>
      <c r="G35">
        <v>374256.24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27"/>
  <sheetViews>
    <sheetView topLeftCell="F1" workbookViewId="0">
      <selection activeCell="E8" sqref="E8"/>
    </sheetView>
  </sheetViews>
  <sheetFormatPr defaultRowHeight="15" x14ac:dyDescent="0.25"/>
  <cols>
    <col min="1" max="1" width="41.140625" bestFit="1" customWidth="1"/>
    <col min="2" max="2" width="18.7109375" bestFit="1" customWidth="1"/>
    <col min="3" max="3" width="17.42578125" bestFit="1" customWidth="1"/>
    <col min="4" max="4" width="18.85546875" bestFit="1" customWidth="1"/>
    <col min="5" max="5" width="14.28515625" bestFit="1" customWidth="1"/>
    <col min="6" max="7" width="12.5703125" bestFit="1" customWidth="1"/>
    <col min="8" max="8" width="18.5703125" bestFit="1" customWidth="1"/>
    <col min="9" max="9" width="13" customWidth="1"/>
    <col min="10" max="19" width="12.5703125" bestFit="1" customWidth="1"/>
    <col min="20" max="20" width="14.28515625" bestFit="1" customWidth="1"/>
    <col min="21" max="23" width="12.5703125" bestFit="1" customWidth="1"/>
  </cols>
  <sheetData>
    <row r="1" spans="1:21" ht="15.75" thickBot="1" x14ac:dyDescent="0.3">
      <c r="A1" s="27" t="s">
        <v>99</v>
      </c>
      <c r="B1" s="29" t="s">
        <v>78</v>
      </c>
      <c r="C1" s="21" t="s">
        <v>76</v>
      </c>
      <c r="D1" s="21" t="s">
        <v>77</v>
      </c>
      <c r="E1" s="21" t="s">
        <v>79</v>
      </c>
      <c r="F1" s="21" t="s">
        <v>80</v>
      </c>
      <c r="G1" s="28" t="s">
        <v>81</v>
      </c>
      <c r="H1" s="27" t="s">
        <v>92</v>
      </c>
      <c r="I1" s="22" t="s">
        <v>93</v>
      </c>
      <c r="J1" s="22" t="s">
        <v>94</v>
      </c>
      <c r="K1" s="22" t="s">
        <v>95</v>
      </c>
      <c r="L1" s="22" t="s">
        <v>96</v>
      </c>
      <c r="M1" s="27" t="s">
        <v>98</v>
      </c>
    </row>
    <row r="2" spans="1:21" x14ac:dyDescent="0.25">
      <c r="A2" s="26" t="s">
        <v>82</v>
      </c>
      <c r="B2" s="14">
        <v>131400</v>
      </c>
      <c r="C2" s="17">
        <f>SUM(B2+C17)</f>
        <v>137970</v>
      </c>
      <c r="D2" s="17">
        <f>SUM(C2-D17)</f>
        <v>124830</v>
      </c>
      <c r="E2" s="17">
        <f>SUM(D2+C17)</f>
        <v>131400</v>
      </c>
      <c r="F2" s="17">
        <f>SUM(E2+C17)</f>
        <v>137970</v>
      </c>
      <c r="G2" s="17">
        <f t="shared" ref="G2:I4" si="0">SUM(F2+C17)</f>
        <v>144540</v>
      </c>
      <c r="H2" s="17">
        <f t="shared" si="0"/>
        <v>157680</v>
      </c>
      <c r="I2" s="17">
        <f t="shared" si="0"/>
        <v>190530</v>
      </c>
      <c r="J2" s="17">
        <f>SUM(I2+C17)</f>
        <v>197100</v>
      </c>
      <c r="K2" s="17">
        <f>SUM(J2+B17)</f>
        <v>198414</v>
      </c>
      <c r="L2" s="17">
        <f>K2</f>
        <v>198414</v>
      </c>
      <c r="M2" s="16">
        <v>300000</v>
      </c>
    </row>
    <row r="3" spans="1:21" x14ac:dyDescent="0.25">
      <c r="A3" s="18" t="s">
        <v>73</v>
      </c>
      <c r="B3" s="17">
        <f>SUM(46*150)</f>
        <v>6900</v>
      </c>
      <c r="C3" s="17">
        <f>SUM(B3+C18)</f>
        <v>7245</v>
      </c>
      <c r="D3" s="17">
        <f>SUM(C3-D18)</f>
        <v>6555</v>
      </c>
      <c r="E3" s="17">
        <f>SUM(D3+E18)</f>
        <v>8280</v>
      </c>
      <c r="F3" s="17">
        <f>SUM(E3-C18)</f>
        <v>7935</v>
      </c>
      <c r="G3" s="17">
        <f t="shared" si="0"/>
        <v>8280</v>
      </c>
      <c r="H3" s="17">
        <f t="shared" si="0"/>
        <v>8970</v>
      </c>
      <c r="I3" s="17">
        <f t="shared" si="0"/>
        <v>10695</v>
      </c>
      <c r="J3" s="17">
        <f>SUM(I3+D18)</f>
        <v>11385</v>
      </c>
      <c r="K3" s="17">
        <f>SUM(J3+B18)</f>
        <v>11454</v>
      </c>
      <c r="L3" s="17">
        <f>SUM(K3+D18)</f>
        <v>12144</v>
      </c>
      <c r="M3" s="16">
        <v>15000</v>
      </c>
    </row>
    <row r="4" spans="1:21" x14ac:dyDescent="0.25">
      <c r="A4" s="19" t="s">
        <v>75</v>
      </c>
      <c r="B4" s="17">
        <v>800</v>
      </c>
      <c r="C4" s="17">
        <f>SUM(B4+C19)</f>
        <v>840</v>
      </c>
      <c r="D4" s="17">
        <f>SUM(C4-D19)</f>
        <v>760</v>
      </c>
      <c r="E4" s="17">
        <f>SUM(D4+C19)</f>
        <v>800</v>
      </c>
      <c r="F4" s="17">
        <f>SUM(E4+C19)</f>
        <v>840</v>
      </c>
      <c r="G4" s="17">
        <f t="shared" si="0"/>
        <v>880</v>
      </c>
      <c r="H4" s="17">
        <f t="shared" si="0"/>
        <v>960</v>
      </c>
      <c r="I4" s="17">
        <f t="shared" si="0"/>
        <v>1160</v>
      </c>
      <c r="J4" s="17">
        <f>SUM(I4+F19)</f>
        <v>1160</v>
      </c>
      <c r="K4" s="17">
        <f>SUM(J4+M24)</f>
        <v>1160</v>
      </c>
      <c r="L4" s="17">
        <f>SUM(K4+N24)</f>
        <v>1160</v>
      </c>
      <c r="M4" s="16">
        <v>2000</v>
      </c>
    </row>
    <row r="5" spans="1:21" x14ac:dyDescent="0.25">
      <c r="A5" s="18" t="s">
        <v>74</v>
      </c>
      <c r="B5" s="17">
        <v>8000</v>
      </c>
      <c r="C5" s="17">
        <v>400</v>
      </c>
      <c r="D5" s="17">
        <v>800</v>
      </c>
      <c r="E5" s="17">
        <v>400</v>
      </c>
      <c r="F5" s="17">
        <v>400</v>
      </c>
      <c r="G5" s="17">
        <v>400</v>
      </c>
      <c r="H5" s="17">
        <v>800</v>
      </c>
      <c r="I5" s="17">
        <v>2000</v>
      </c>
      <c r="J5" s="17">
        <v>400</v>
      </c>
      <c r="K5" s="17">
        <v>80</v>
      </c>
      <c r="L5" s="17">
        <v>0</v>
      </c>
      <c r="M5" s="16">
        <v>100</v>
      </c>
    </row>
    <row r="6" spans="1:21" x14ac:dyDescent="0.25">
      <c r="A6" s="18" t="s">
        <v>83</v>
      </c>
      <c r="B6">
        <v>9840</v>
      </c>
      <c r="C6" s="17">
        <f>SUM(B6+C21)</f>
        <v>10332</v>
      </c>
      <c r="D6" s="17">
        <f>SUM(C6-D21)</f>
        <v>9348</v>
      </c>
      <c r="E6" s="17">
        <f>SUM(D6+C21)</f>
        <v>9840</v>
      </c>
      <c r="F6" s="17">
        <f>SUM(E6+C21)</f>
        <v>10332</v>
      </c>
      <c r="G6" s="17">
        <f t="shared" ref="G6:J7" si="1">SUM(F6+C21)</f>
        <v>10824</v>
      </c>
      <c r="H6" s="17">
        <f t="shared" si="1"/>
        <v>11808</v>
      </c>
      <c r="I6" s="17">
        <f t="shared" si="1"/>
        <v>14268</v>
      </c>
      <c r="J6" s="17">
        <f t="shared" si="1"/>
        <v>14268</v>
      </c>
      <c r="K6" s="17">
        <f>SUM(J6+M26)</f>
        <v>14268</v>
      </c>
      <c r="L6" s="17">
        <f>SUM(K6+N26)</f>
        <v>14268</v>
      </c>
      <c r="M6" s="16">
        <v>15000</v>
      </c>
    </row>
    <row r="7" spans="1:21" x14ac:dyDescent="0.25">
      <c r="A7" s="18" t="s">
        <v>84</v>
      </c>
      <c r="B7" s="17">
        <v>65000</v>
      </c>
      <c r="C7" s="17">
        <f>SUM(B7+C22)</f>
        <v>68250</v>
      </c>
      <c r="D7" s="17">
        <f>SUM(C7-D22)</f>
        <v>61750</v>
      </c>
      <c r="E7" s="17">
        <f>SUM(D7+C22)</f>
        <v>65000</v>
      </c>
      <c r="F7" s="17">
        <f>SUM(E7+C22)</f>
        <v>68250</v>
      </c>
      <c r="G7" s="17">
        <f t="shared" si="1"/>
        <v>71500</v>
      </c>
      <c r="H7" s="17">
        <f t="shared" si="1"/>
        <v>78000</v>
      </c>
      <c r="I7" s="17">
        <f t="shared" si="1"/>
        <v>94250</v>
      </c>
      <c r="J7" s="17">
        <f t="shared" si="1"/>
        <v>94250</v>
      </c>
      <c r="K7" s="17">
        <f>SUM(J7+M27)</f>
        <v>94250</v>
      </c>
      <c r="L7" s="17">
        <f>SUM(K7+N27)</f>
        <v>94250</v>
      </c>
      <c r="M7" s="16">
        <v>95000</v>
      </c>
    </row>
    <row r="8" spans="1:21" x14ac:dyDescent="0.25">
      <c r="A8" s="18" t="s">
        <v>85</v>
      </c>
      <c r="B8" s="17">
        <v>115000</v>
      </c>
      <c r="C8" s="17">
        <f>SUM(B8+C23)</f>
        <v>120750</v>
      </c>
      <c r="D8" s="17">
        <f>SUM(C8-D23)</f>
        <v>109250</v>
      </c>
      <c r="E8" s="17">
        <f>SUM(D8+C23)</f>
        <v>115000</v>
      </c>
      <c r="F8" s="17">
        <f>SUM(E8+C23)</f>
        <v>120750</v>
      </c>
      <c r="G8" s="17">
        <f>SUM(F8+C23)</f>
        <v>126500</v>
      </c>
      <c r="H8" s="17">
        <f>SUM(G8+D23)</f>
        <v>138000</v>
      </c>
      <c r="I8" s="17">
        <f>SUM(H8+E23)</f>
        <v>166750</v>
      </c>
      <c r="J8" s="17">
        <f>SUM(I8+B23)</f>
        <v>167900</v>
      </c>
      <c r="K8" s="17">
        <f>SUM(J8+C23)</f>
        <v>173650</v>
      </c>
      <c r="L8" s="17">
        <f>SUM(K8+B23)</f>
        <v>174800</v>
      </c>
      <c r="M8" s="16">
        <v>175000</v>
      </c>
    </row>
    <row r="9" spans="1:21" x14ac:dyDescent="0.25">
      <c r="A9" s="18" t="s">
        <v>86</v>
      </c>
      <c r="B9" s="17">
        <f t="shared" ref="B9:M9" si="2">SUM(B2:B8)</f>
        <v>336940</v>
      </c>
      <c r="C9" s="17">
        <f t="shared" si="2"/>
        <v>345787</v>
      </c>
      <c r="D9" s="17">
        <f t="shared" si="2"/>
        <v>313293</v>
      </c>
      <c r="E9" s="17">
        <f t="shared" si="2"/>
        <v>330720</v>
      </c>
      <c r="F9" s="17">
        <f t="shared" si="2"/>
        <v>346477</v>
      </c>
      <c r="G9" s="17">
        <f t="shared" si="2"/>
        <v>362924</v>
      </c>
      <c r="H9" s="17">
        <f t="shared" si="2"/>
        <v>396218</v>
      </c>
      <c r="I9" s="17">
        <f t="shared" si="2"/>
        <v>479653</v>
      </c>
      <c r="J9" s="17">
        <f t="shared" si="2"/>
        <v>486463</v>
      </c>
      <c r="K9" s="17">
        <f t="shared" si="2"/>
        <v>493276</v>
      </c>
      <c r="L9" s="17">
        <f t="shared" si="2"/>
        <v>495036</v>
      </c>
      <c r="M9" s="16">
        <f t="shared" si="2"/>
        <v>602100</v>
      </c>
    </row>
    <row r="10" spans="1:21" x14ac:dyDescent="0.25">
      <c r="A10" s="18" t="s">
        <v>87</v>
      </c>
      <c r="B10" s="17">
        <v>0</v>
      </c>
      <c r="C10" s="17">
        <v>500</v>
      </c>
      <c r="D10" s="23">
        <f>SUM(C10+F24)</f>
        <v>750</v>
      </c>
      <c r="E10" s="23">
        <f t="shared" ref="E10:G11" si="3">SUM(D10+V10)</f>
        <v>750</v>
      </c>
      <c r="F10" s="23">
        <f t="shared" si="3"/>
        <v>750</v>
      </c>
      <c r="G10" s="23">
        <f t="shared" si="3"/>
        <v>750</v>
      </c>
      <c r="H10" s="17">
        <f>SUM(G10+F24)</f>
        <v>1000</v>
      </c>
      <c r="I10" s="17">
        <f>SUM(H10+F24)</f>
        <v>1250</v>
      </c>
      <c r="J10" s="17">
        <f>SUM(I10+F24)</f>
        <v>1500</v>
      </c>
      <c r="K10" s="17">
        <f>SUM(J10+F24)</f>
        <v>1750</v>
      </c>
      <c r="L10" s="17">
        <f>SUM(K10+F24)</f>
        <v>2000</v>
      </c>
      <c r="M10" s="16">
        <v>2100</v>
      </c>
      <c r="U10" s="30"/>
    </row>
    <row r="11" spans="1:21" x14ac:dyDescent="0.25">
      <c r="A11" s="18" t="s">
        <v>88</v>
      </c>
      <c r="B11" s="17">
        <v>0</v>
      </c>
      <c r="C11" s="17">
        <v>1000</v>
      </c>
      <c r="D11" s="23">
        <f>SUM(C11+F25)</f>
        <v>1500</v>
      </c>
      <c r="E11" s="23">
        <f t="shared" si="3"/>
        <v>1500</v>
      </c>
      <c r="F11" s="23">
        <f t="shared" si="3"/>
        <v>1500</v>
      </c>
      <c r="G11" s="23">
        <f t="shared" si="3"/>
        <v>1500</v>
      </c>
      <c r="H11" s="17">
        <f>SUM(G11+F25)</f>
        <v>2000</v>
      </c>
      <c r="I11" s="17">
        <f>SUM(H11+F25)</f>
        <v>2500</v>
      </c>
      <c r="J11" s="17">
        <f>SUM(I11+F25)</f>
        <v>3000</v>
      </c>
      <c r="K11" s="17">
        <f>SUM(J11+F25)</f>
        <v>3500</v>
      </c>
      <c r="L11" s="17">
        <f>SUM(K11+F25)</f>
        <v>4000</v>
      </c>
      <c r="M11" s="16">
        <v>100000</v>
      </c>
    </row>
    <row r="12" spans="1:21" x14ac:dyDescent="0.25">
      <c r="A12" s="18" t="s">
        <v>89</v>
      </c>
      <c r="B12" s="17">
        <v>0</v>
      </c>
      <c r="C12" s="17">
        <v>5000</v>
      </c>
      <c r="D12" s="23">
        <f>SUM(C12+F26)</f>
        <v>7500</v>
      </c>
      <c r="E12" s="23">
        <f>SUM(D12+F26)</f>
        <v>10000</v>
      </c>
      <c r="F12" s="23">
        <f>SUM(E12+F26)</f>
        <v>12500</v>
      </c>
      <c r="G12" s="23">
        <f>SUM(F12+F26)</f>
        <v>15000</v>
      </c>
      <c r="H12" s="17">
        <f>SUM(G12+F26)</f>
        <v>17500</v>
      </c>
      <c r="I12" s="17">
        <f>SUM(H12+F26)</f>
        <v>20000</v>
      </c>
      <c r="J12" s="17">
        <f>SUM(I12+F26)</f>
        <v>22500</v>
      </c>
      <c r="K12" s="17">
        <f>SUM(J12+F26)</f>
        <v>25000</v>
      </c>
      <c r="L12" s="17">
        <f>SUM(K12+F26)</f>
        <v>27500</v>
      </c>
      <c r="M12" s="16">
        <v>500000</v>
      </c>
    </row>
    <row r="13" spans="1:21" x14ac:dyDescent="0.25">
      <c r="A13" s="18" t="s">
        <v>90</v>
      </c>
      <c r="B13" s="17">
        <f t="shared" ref="B13:M13" si="4">SUM(B10:B12)</f>
        <v>0</v>
      </c>
      <c r="C13" s="17">
        <f t="shared" si="4"/>
        <v>6500</v>
      </c>
      <c r="D13" s="17">
        <f t="shared" si="4"/>
        <v>9750</v>
      </c>
      <c r="E13" s="17">
        <f t="shared" si="4"/>
        <v>12250</v>
      </c>
      <c r="F13" s="17">
        <f t="shared" si="4"/>
        <v>14750</v>
      </c>
      <c r="G13" s="17">
        <f t="shared" si="4"/>
        <v>17250</v>
      </c>
      <c r="H13" s="17">
        <f t="shared" si="4"/>
        <v>20500</v>
      </c>
      <c r="I13" s="17">
        <f t="shared" si="4"/>
        <v>23750</v>
      </c>
      <c r="J13" s="17">
        <f t="shared" si="4"/>
        <v>27000</v>
      </c>
      <c r="K13" s="17">
        <f t="shared" si="4"/>
        <v>30250</v>
      </c>
      <c r="L13" s="17">
        <f t="shared" si="4"/>
        <v>33500</v>
      </c>
      <c r="M13" s="16">
        <f t="shared" si="4"/>
        <v>602100</v>
      </c>
    </row>
    <row r="14" spans="1:21" x14ac:dyDescent="0.25">
      <c r="A14" s="18" t="s">
        <v>91</v>
      </c>
      <c r="B14" s="17">
        <f t="shared" ref="B14:M14" si="5">B13-B9</f>
        <v>-336940</v>
      </c>
      <c r="C14" s="17">
        <f t="shared" si="5"/>
        <v>-339287</v>
      </c>
      <c r="D14" s="17">
        <f t="shared" si="5"/>
        <v>-303543</v>
      </c>
      <c r="E14" s="17">
        <f t="shared" si="5"/>
        <v>-318470</v>
      </c>
      <c r="F14" s="17">
        <f t="shared" si="5"/>
        <v>-331727</v>
      </c>
      <c r="G14" s="17">
        <f t="shared" si="5"/>
        <v>-345674</v>
      </c>
      <c r="H14" s="17">
        <f t="shared" si="5"/>
        <v>-375718</v>
      </c>
      <c r="I14" s="17">
        <f t="shared" si="5"/>
        <v>-455903</v>
      </c>
      <c r="J14" s="17">
        <f t="shared" si="5"/>
        <v>-459463</v>
      </c>
      <c r="K14" s="17">
        <f t="shared" si="5"/>
        <v>-463026</v>
      </c>
      <c r="L14" s="17">
        <f t="shared" si="5"/>
        <v>-461536</v>
      </c>
      <c r="M14" s="16">
        <f t="shared" si="5"/>
        <v>0</v>
      </c>
    </row>
    <row r="15" spans="1:21" ht="15.75" thickBot="1" x14ac:dyDescent="0.3">
      <c r="A15" s="31" t="s">
        <v>97</v>
      </c>
      <c r="B15" s="32">
        <f t="shared" ref="B15:M15" si="6">B14/B9</f>
        <v>-1</v>
      </c>
      <c r="C15" s="32">
        <f t="shared" si="6"/>
        <v>-0.98120230083837734</v>
      </c>
      <c r="D15" s="32">
        <f t="shared" si="6"/>
        <v>-0.96887897271882872</v>
      </c>
      <c r="E15" s="32">
        <f t="shared" si="6"/>
        <v>-0.96295960328979202</v>
      </c>
      <c r="F15" s="32">
        <f t="shared" si="6"/>
        <v>-0.95742863162634173</v>
      </c>
      <c r="G15" s="24">
        <f t="shared" si="6"/>
        <v>-0.95246938753017163</v>
      </c>
      <c r="H15" s="24">
        <f t="shared" si="6"/>
        <v>-0.9482608059199733</v>
      </c>
      <c r="I15" s="24">
        <f t="shared" si="6"/>
        <v>-0.9504850381421569</v>
      </c>
      <c r="J15" s="24">
        <f t="shared" si="6"/>
        <v>-0.94449732045397083</v>
      </c>
      <c r="K15" s="24">
        <f t="shared" si="6"/>
        <v>-0.938675305508478</v>
      </c>
      <c r="L15" s="24">
        <f t="shared" si="6"/>
        <v>-0.93232815391203872</v>
      </c>
      <c r="M15" s="25">
        <f t="shared" si="6"/>
        <v>0</v>
      </c>
    </row>
    <row r="16" spans="1:21" ht="15.75" thickBot="1" x14ac:dyDescent="0.3">
      <c r="A16" s="37"/>
      <c r="B16" s="39">
        <v>0.01</v>
      </c>
      <c r="C16" s="39">
        <v>0.05</v>
      </c>
      <c r="D16" s="39">
        <v>0.1</v>
      </c>
      <c r="E16" s="39">
        <v>0.25</v>
      </c>
      <c r="F16" s="40">
        <v>0.5</v>
      </c>
    </row>
    <row r="17" spans="1:14" x14ac:dyDescent="0.25">
      <c r="A17" s="38" t="s">
        <v>82</v>
      </c>
      <c r="B17" s="33">
        <f t="shared" ref="B17:B23" si="7">B2*0.01</f>
        <v>1314</v>
      </c>
      <c r="C17" s="33">
        <f t="shared" ref="C17:C23" si="8">B2*0.05</f>
        <v>6570</v>
      </c>
      <c r="D17" s="33">
        <f>B2*0.1</f>
        <v>13140</v>
      </c>
      <c r="E17" s="33">
        <f>B2*0.25</f>
        <v>32850</v>
      </c>
      <c r="F17" s="34"/>
      <c r="I17" s="14"/>
      <c r="J17" s="14"/>
      <c r="K17" s="14"/>
      <c r="L17" s="14"/>
      <c r="M17" s="14"/>
      <c r="N17" s="14"/>
    </row>
    <row r="18" spans="1:14" x14ac:dyDescent="0.25">
      <c r="A18" s="18" t="s">
        <v>73</v>
      </c>
      <c r="B18" s="33">
        <f t="shared" si="7"/>
        <v>69</v>
      </c>
      <c r="C18" s="33">
        <f t="shared" si="8"/>
        <v>345</v>
      </c>
      <c r="D18" s="33">
        <f>B3*0.1</f>
        <v>690</v>
      </c>
      <c r="E18" s="33">
        <f>B3*0.25</f>
        <v>1725</v>
      </c>
      <c r="F18" s="34"/>
    </row>
    <row r="19" spans="1:14" x14ac:dyDescent="0.25">
      <c r="A19" s="18" t="s">
        <v>75</v>
      </c>
      <c r="B19" s="33">
        <f t="shared" si="7"/>
        <v>8</v>
      </c>
      <c r="C19" s="33">
        <f t="shared" si="8"/>
        <v>40</v>
      </c>
      <c r="D19" s="33">
        <f>B4*0.1</f>
        <v>80</v>
      </c>
      <c r="E19" s="33">
        <f>B4*0.25</f>
        <v>200</v>
      </c>
      <c r="F19" s="34"/>
    </row>
    <row r="20" spans="1:14" x14ac:dyDescent="0.25">
      <c r="A20" s="18" t="s">
        <v>74</v>
      </c>
      <c r="B20" s="33">
        <f t="shared" si="7"/>
        <v>80</v>
      </c>
      <c r="C20" s="33">
        <f t="shared" si="8"/>
        <v>400</v>
      </c>
      <c r="D20" s="33">
        <f>B20*10</f>
        <v>800</v>
      </c>
      <c r="E20" s="33">
        <f>B20*25</f>
        <v>2000</v>
      </c>
      <c r="F20" s="34"/>
    </row>
    <row r="21" spans="1:14" x14ac:dyDescent="0.25">
      <c r="A21" s="18" t="s">
        <v>83</v>
      </c>
      <c r="B21" s="33">
        <f t="shared" si="7"/>
        <v>98.4</v>
      </c>
      <c r="C21" s="33">
        <f t="shared" si="8"/>
        <v>492</v>
      </c>
      <c r="D21" s="33">
        <f>B6*0.1</f>
        <v>984</v>
      </c>
      <c r="E21" s="33">
        <f>B6*0.25</f>
        <v>2460</v>
      </c>
      <c r="F21" s="34"/>
    </row>
    <row r="22" spans="1:14" x14ac:dyDescent="0.25">
      <c r="A22" s="18" t="s">
        <v>84</v>
      </c>
      <c r="B22" s="33">
        <f t="shared" si="7"/>
        <v>650</v>
      </c>
      <c r="C22" s="33">
        <f t="shared" si="8"/>
        <v>3250</v>
      </c>
      <c r="D22" s="33">
        <f>B7*0.1</f>
        <v>6500</v>
      </c>
      <c r="E22" s="33">
        <f>B7*0.25</f>
        <v>16250</v>
      </c>
      <c r="F22" s="34"/>
    </row>
    <row r="23" spans="1:14" x14ac:dyDescent="0.25">
      <c r="A23" s="18" t="s">
        <v>85</v>
      </c>
      <c r="B23" s="33">
        <f t="shared" si="7"/>
        <v>1150</v>
      </c>
      <c r="C23" s="33">
        <f t="shared" si="8"/>
        <v>5750</v>
      </c>
      <c r="D23" s="33">
        <f>B8*0.1</f>
        <v>11500</v>
      </c>
      <c r="E23" s="33">
        <f>B8*0.25</f>
        <v>28750</v>
      </c>
      <c r="F23" s="34"/>
    </row>
    <row r="24" spans="1:14" x14ac:dyDescent="0.25">
      <c r="A24" s="18" t="s">
        <v>87</v>
      </c>
      <c r="B24" s="33"/>
      <c r="C24" s="33"/>
      <c r="D24" s="33"/>
      <c r="E24" s="33"/>
      <c r="F24" s="34">
        <f>SUM(C10*0.5)</f>
        <v>250</v>
      </c>
    </row>
    <row r="25" spans="1:14" x14ac:dyDescent="0.25">
      <c r="A25" s="18" t="s">
        <v>88</v>
      </c>
      <c r="B25" s="33"/>
      <c r="C25" s="33"/>
      <c r="D25" s="33"/>
      <c r="E25" s="33"/>
      <c r="F25" s="34">
        <f>SUM(C11*0.5)</f>
        <v>500</v>
      </c>
    </row>
    <row r="26" spans="1:14" ht="15.75" thickBot="1" x14ac:dyDescent="0.3">
      <c r="A26" s="20" t="s">
        <v>89</v>
      </c>
      <c r="B26" s="35"/>
      <c r="C26" s="35"/>
      <c r="D26" s="35"/>
      <c r="E26" s="35"/>
      <c r="F26" s="36">
        <f>SUM(C12*0.5)</f>
        <v>2500</v>
      </c>
    </row>
    <row r="27" spans="1:14" x14ac:dyDescent="0.25">
      <c r="A27" s="33"/>
      <c r="B27" s="33"/>
      <c r="C27" s="33"/>
      <c r="D27" s="33"/>
      <c r="E27" s="33"/>
      <c r="F27" s="3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6"/>
  <sheetViews>
    <sheetView topLeftCell="A4" workbookViewId="0">
      <selection activeCell="A34" sqref="A34"/>
    </sheetView>
  </sheetViews>
  <sheetFormatPr defaultRowHeight="15" x14ac:dyDescent="0.25"/>
  <cols>
    <col min="1" max="1" width="26.85546875" bestFit="1" customWidth="1"/>
    <col min="2" max="17" width="11.5703125" bestFit="1" customWidth="1"/>
    <col min="18" max="22" width="12.5703125" bestFit="1" customWidth="1"/>
    <col min="24" max="24" width="9.140625" customWidth="1"/>
  </cols>
  <sheetData>
    <row r="1" spans="1:22" ht="15.75" thickBot="1" x14ac:dyDescent="0.3">
      <c r="A1" s="27" t="s">
        <v>99</v>
      </c>
      <c r="B1" s="29" t="s">
        <v>78</v>
      </c>
      <c r="C1" s="21" t="s">
        <v>76</v>
      </c>
      <c r="D1" s="21" t="s">
        <v>77</v>
      </c>
      <c r="E1" s="21" t="s">
        <v>79</v>
      </c>
      <c r="F1" s="21" t="s">
        <v>80</v>
      </c>
      <c r="G1" s="28" t="s">
        <v>81</v>
      </c>
      <c r="H1" s="27" t="s">
        <v>92</v>
      </c>
      <c r="I1" s="22" t="s">
        <v>93</v>
      </c>
      <c r="J1" s="22" t="s">
        <v>94</v>
      </c>
      <c r="K1" s="27" t="s">
        <v>95</v>
      </c>
      <c r="L1" s="27" t="s">
        <v>96</v>
      </c>
      <c r="M1" s="27" t="s">
        <v>104</v>
      </c>
      <c r="N1" s="27" t="s">
        <v>105</v>
      </c>
      <c r="O1" s="27" t="s">
        <v>106</v>
      </c>
      <c r="P1" s="27" t="s">
        <v>107</v>
      </c>
      <c r="Q1" s="27" t="s">
        <v>108</v>
      </c>
      <c r="R1" s="27" t="s">
        <v>109</v>
      </c>
      <c r="S1" s="27" t="s">
        <v>110</v>
      </c>
      <c r="T1" s="27" t="s">
        <v>111</v>
      </c>
      <c r="U1" s="27" t="s">
        <v>112</v>
      </c>
      <c r="V1" s="47" t="s">
        <v>113</v>
      </c>
    </row>
    <row r="2" spans="1:22" x14ac:dyDescent="0.25">
      <c r="A2" s="26" t="s">
        <v>82</v>
      </c>
      <c r="B2" s="17">
        <f>20000+900+3000</f>
        <v>23900</v>
      </c>
      <c r="C2" s="17">
        <f>B2+B17</f>
        <v>24139</v>
      </c>
      <c r="D2" s="17">
        <f>C17+B2</f>
        <v>24378</v>
      </c>
      <c r="E2" s="17">
        <f>SUM(D2+D17)</f>
        <v>25095</v>
      </c>
      <c r="F2" s="17">
        <f>E2+G17</f>
        <v>27485</v>
      </c>
      <c r="G2" s="17">
        <f>F2+H17</f>
        <v>33460</v>
      </c>
      <c r="H2" s="17">
        <f>G2+D17</f>
        <v>34177</v>
      </c>
      <c r="I2" s="17">
        <f>H2+D17</f>
        <v>34894</v>
      </c>
      <c r="J2" s="17">
        <f>I2+B17</f>
        <v>35133</v>
      </c>
      <c r="K2" s="17">
        <f>J2+D17</f>
        <v>35850</v>
      </c>
      <c r="L2" s="17">
        <f t="shared" ref="L2:R2" si="0">K2+B17</f>
        <v>36089</v>
      </c>
      <c r="M2" s="17">
        <f t="shared" si="0"/>
        <v>36567</v>
      </c>
      <c r="N2" s="17">
        <f t="shared" si="0"/>
        <v>37284</v>
      </c>
      <c r="O2" s="17">
        <f t="shared" si="0"/>
        <v>38240</v>
      </c>
      <c r="P2" s="17">
        <f t="shared" si="0"/>
        <v>39435</v>
      </c>
      <c r="Q2" s="17">
        <f t="shared" si="0"/>
        <v>41825</v>
      </c>
      <c r="R2" s="17">
        <f t="shared" si="0"/>
        <v>47800</v>
      </c>
      <c r="S2" s="17">
        <f>R2+B17</f>
        <v>48039</v>
      </c>
      <c r="T2" s="17">
        <f>S2+C17</f>
        <v>48517</v>
      </c>
      <c r="U2" s="17">
        <f>T2+B17</f>
        <v>48756</v>
      </c>
      <c r="V2" s="16">
        <f>U2+E17</f>
        <v>49712</v>
      </c>
    </row>
    <row r="3" spans="1:22" x14ac:dyDescent="0.25">
      <c r="A3" s="18" t="s">
        <v>73</v>
      </c>
      <c r="B3" s="17">
        <v>2000</v>
      </c>
      <c r="C3" s="17">
        <f>SUM(B3+B18)</f>
        <v>2020</v>
      </c>
      <c r="D3" s="17">
        <f>SUM(C3+C18)</f>
        <v>2060</v>
      </c>
      <c r="E3" s="17">
        <f>SUM(D3+D18)</f>
        <v>2120</v>
      </c>
      <c r="F3" s="17">
        <f>SUM(E3+E18)</f>
        <v>2200</v>
      </c>
      <c r="G3" s="17">
        <f>SUM(F3+F18)</f>
        <v>2300</v>
      </c>
      <c r="H3" s="17">
        <f>SUM(G3+G18)</f>
        <v>2500</v>
      </c>
      <c r="I3" s="17">
        <f>SUM(H3+H18)</f>
        <v>3000</v>
      </c>
      <c r="J3" s="17">
        <f>SUM(I3+F18)</f>
        <v>3100</v>
      </c>
      <c r="K3" s="17">
        <f>SUM(J3+D18)</f>
        <v>3160</v>
      </c>
      <c r="L3" s="17">
        <f>SUM(K3+B18)</f>
        <v>3180</v>
      </c>
      <c r="M3" s="17">
        <f t="shared" ref="M3:R3" si="1">SUM(L3+C18)</f>
        <v>3220</v>
      </c>
      <c r="N3" s="17">
        <f t="shared" si="1"/>
        <v>3280</v>
      </c>
      <c r="O3" s="17">
        <f t="shared" si="1"/>
        <v>3360</v>
      </c>
      <c r="P3" s="17">
        <f t="shared" si="1"/>
        <v>3460</v>
      </c>
      <c r="Q3" s="17">
        <f t="shared" si="1"/>
        <v>3660</v>
      </c>
      <c r="R3" s="17">
        <f t="shared" si="1"/>
        <v>4160</v>
      </c>
      <c r="S3" s="17">
        <f>SUM(R3+B18)</f>
        <v>4180</v>
      </c>
      <c r="T3" s="17">
        <f>SUM(S3+C18)</f>
        <v>4220</v>
      </c>
      <c r="U3" s="17">
        <f>SUM(T3+B18)</f>
        <v>4240</v>
      </c>
      <c r="V3" s="16">
        <f>SUM(U3+E18)</f>
        <v>4320</v>
      </c>
    </row>
    <row r="4" spans="1:22" x14ac:dyDescent="0.25">
      <c r="A4" s="19" t="s">
        <v>75</v>
      </c>
      <c r="B4" s="17">
        <v>800</v>
      </c>
      <c r="C4" s="17">
        <f>SUM(B4+B19)</f>
        <v>808</v>
      </c>
      <c r="D4" s="17">
        <f t="shared" ref="D4:I4" si="2">SUM(C4+C19)</f>
        <v>824</v>
      </c>
      <c r="E4" s="17">
        <f t="shared" si="2"/>
        <v>848</v>
      </c>
      <c r="F4" s="17">
        <f t="shared" si="2"/>
        <v>880</v>
      </c>
      <c r="G4" s="17">
        <f t="shared" si="2"/>
        <v>920</v>
      </c>
      <c r="H4" s="17">
        <f>SUM(G4+G19)</f>
        <v>1000</v>
      </c>
      <c r="I4" s="17">
        <f t="shared" si="2"/>
        <v>1200</v>
      </c>
      <c r="J4" s="17">
        <f>SUM(I4+B19)</f>
        <v>1208</v>
      </c>
      <c r="K4" s="17">
        <f>SUM(J4+D19)</f>
        <v>1232</v>
      </c>
      <c r="L4" s="17">
        <f>SUM(K4+B19)</f>
        <v>1240</v>
      </c>
      <c r="M4" s="17">
        <f t="shared" ref="M4:R4" si="3">SUM(L4+C19)</f>
        <v>1256</v>
      </c>
      <c r="N4" s="17">
        <f t="shared" si="3"/>
        <v>1280</v>
      </c>
      <c r="O4" s="17">
        <f t="shared" si="3"/>
        <v>1312</v>
      </c>
      <c r="P4" s="17">
        <f t="shared" si="3"/>
        <v>1352</v>
      </c>
      <c r="Q4" s="17">
        <f t="shared" si="3"/>
        <v>1432</v>
      </c>
      <c r="R4" s="17">
        <f t="shared" si="3"/>
        <v>1632</v>
      </c>
      <c r="S4" s="17">
        <f>SUM(R4+B19)</f>
        <v>1640</v>
      </c>
      <c r="T4" s="17">
        <f>SUM(S4+C19)</f>
        <v>1656</v>
      </c>
      <c r="U4" s="17">
        <f>SUM(T4+B19)</f>
        <v>1664</v>
      </c>
      <c r="V4" s="16">
        <f>SUM(U4+E19)</f>
        <v>1696</v>
      </c>
    </row>
    <row r="5" spans="1:22" x14ac:dyDescent="0.25">
      <c r="A5" s="18" t="s">
        <v>74</v>
      </c>
      <c r="B5" s="17">
        <v>8000</v>
      </c>
      <c r="C5" s="17">
        <f>B20</f>
        <v>80</v>
      </c>
      <c r="D5" s="17">
        <f t="shared" ref="D5:I5" si="4">C20</f>
        <v>160</v>
      </c>
      <c r="E5" s="17">
        <f t="shared" si="4"/>
        <v>240</v>
      </c>
      <c r="F5" s="17">
        <f t="shared" si="4"/>
        <v>320</v>
      </c>
      <c r="G5" s="17">
        <f t="shared" si="4"/>
        <v>400</v>
      </c>
      <c r="H5" s="17">
        <f>G20</f>
        <v>800</v>
      </c>
      <c r="I5" s="17">
        <f t="shared" si="4"/>
        <v>2000</v>
      </c>
      <c r="J5" s="17">
        <f>B20</f>
        <v>80</v>
      </c>
      <c r="K5" s="17">
        <f>D20</f>
        <v>240</v>
      </c>
      <c r="L5" s="17">
        <f>B20</f>
        <v>80</v>
      </c>
      <c r="M5" s="17">
        <f t="shared" ref="M5:R5" si="5">C20</f>
        <v>160</v>
      </c>
      <c r="N5" s="17">
        <f t="shared" si="5"/>
        <v>240</v>
      </c>
      <c r="O5" s="17">
        <f t="shared" si="5"/>
        <v>320</v>
      </c>
      <c r="P5" s="17">
        <f t="shared" si="5"/>
        <v>400</v>
      </c>
      <c r="Q5" s="17">
        <f t="shared" si="5"/>
        <v>800</v>
      </c>
      <c r="R5" s="17">
        <f t="shared" si="5"/>
        <v>2000</v>
      </c>
      <c r="S5" s="17">
        <f>B20</f>
        <v>80</v>
      </c>
      <c r="T5" s="17">
        <f>C20</f>
        <v>160</v>
      </c>
      <c r="U5" s="17">
        <f>B20</f>
        <v>80</v>
      </c>
      <c r="V5" s="17">
        <f>E20</f>
        <v>320</v>
      </c>
    </row>
    <row r="6" spans="1:22" x14ac:dyDescent="0.25">
      <c r="A6" s="18" t="s">
        <v>100</v>
      </c>
      <c r="B6" s="17">
        <v>25000</v>
      </c>
      <c r="C6" s="17">
        <f>B6+B21</f>
        <v>25250</v>
      </c>
      <c r="D6" s="17">
        <f t="shared" ref="D6:I6" si="6">C6+C21</f>
        <v>25750</v>
      </c>
      <c r="E6" s="17">
        <f t="shared" si="6"/>
        <v>26500</v>
      </c>
      <c r="F6" s="17">
        <f t="shared" si="6"/>
        <v>27500</v>
      </c>
      <c r="G6" s="17">
        <f t="shared" si="6"/>
        <v>28750</v>
      </c>
      <c r="H6" s="17">
        <f>G6+G21</f>
        <v>31250</v>
      </c>
      <c r="I6" s="17">
        <f t="shared" si="6"/>
        <v>37500</v>
      </c>
      <c r="J6" s="17">
        <f>I6+B21</f>
        <v>37750</v>
      </c>
      <c r="K6" s="17">
        <f>J6+D21</f>
        <v>38500</v>
      </c>
      <c r="L6" s="17">
        <f>K6+B21</f>
        <v>38750</v>
      </c>
      <c r="M6" s="17">
        <f t="shared" ref="M6:V6" si="7">L6+C21</f>
        <v>39250</v>
      </c>
      <c r="N6" s="17">
        <f t="shared" si="7"/>
        <v>40000</v>
      </c>
      <c r="O6" s="17">
        <f t="shared" si="7"/>
        <v>41000</v>
      </c>
      <c r="P6" s="17">
        <f t="shared" si="7"/>
        <v>42250</v>
      </c>
      <c r="Q6" s="17">
        <f t="shared" si="7"/>
        <v>44750</v>
      </c>
      <c r="R6" s="17">
        <f t="shared" si="7"/>
        <v>51000</v>
      </c>
      <c r="S6" s="17">
        <f>R6+B21</f>
        <v>51250</v>
      </c>
      <c r="T6" s="17">
        <f t="shared" si="7"/>
        <v>51250</v>
      </c>
      <c r="U6" s="17">
        <f t="shared" si="7"/>
        <v>51250</v>
      </c>
      <c r="V6" s="16">
        <f t="shared" si="7"/>
        <v>51250</v>
      </c>
    </row>
    <row r="7" spans="1:22" x14ac:dyDescent="0.25">
      <c r="A7" s="18" t="s">
        <v>84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6"/>
    </row>
    <row r="8" spans="1:22" x14ac:dyDescent="0.25">
      <c r="A8" s="18" t="s">
        <v>85</v>
      </c>
      <c r="B8" s="17">
        <v>1200</v>
      </c>
      <c r="C8" s="17">
        <f t="shared" ref="C8:I8" si="8">B8+B23</f>
        <v>1212</v>
      </c>
      <c r="D8" s="17">
        <f t="shared" si="8"/>
        <v>1236</v>
      </c>
      <c r="E8" s="17">
        <f t="shared" si="8"/>
        <v>1272</v>
      </c>
      <c r="F8" s="17">
        <f t="shared" si="8"/>
        <v>1320</v>
      </c>
      <c r="G8" s="17">
        <f t="shared" si="8"/>
        <v>1380</v>
      </c>
      <c r="H8" s="17">
        <f t="shared" si="8"/>
        <v>1500</v>
      </c>
      <c r="I8" s="17">
        <f t="shared" si="8"/>
        <v>1800</v>
      </c>
      <c r="J8" s="17">
        <f>I8+D23</f>
        <v>1836</v>
      </c>
      <c r="K8" s="17">
        <f>J8+E23</f>
        <v>1884</v>
      </c>
      <c r="L8" s="17">
        <f>K8+D23</f>
        <v>1920</v>
      </c>
      <c r="M8" s="17">
        <f t="shared" ref="M8:V8" si="9">L8+E23</f>
        <v>1968</v>
      </c>
      <c r="N8" s="17">
        <f t="shared" si="9"/>
        <v>2028</v>
      </c>
      <c r="O8" s="17">
        <f t="shared" si="9"/>
        <v>2148</v>
      </c>
      <c r="P8" s="17">
        <f t="shared" si="9"/>
        <v>2448</v>
      </c>
      <c r="Q8" s="17">
        <f t="shared" si="9"/>
        <v>2448</v>
      </c>
      <c r="R8" s="17">
        <f t="shared" si="9"/>
        <v>2448</v>
      </c>
      <c r="S8" s="17">
        <f t="shared" si="9"/>
        <v>2448</v>
      </c>
      <c r="T8" s="17">
        <f t="shared" si="9"/>
        <v>2448</v>
      </c>
      <c r="U8" s="17">
        <f t="shared" si="9"/>
        <v>2448</v>
      </c>
      <c r="V8" s="16">
        <f t="shared" si="9"/>
        <v>2448</v>
      </c>
    </row>
    <row r="9" spans="1:22" x14ac:dyDescent="0.25">
      <c r="A9" s="18" t="s">
        <v>86</v>
      </c>
      <c r="B9" s="17">
        <f>SUM(B2:B8)</f>
        <v>60900</v>
      </c>
      <c r="C9" s="17">
        <f t="shared" ref="C9:R9" si="10">SUM(C2:C8)</f>
        <v>53509</v>
      </c>
      <c r="D9" s="17">
        <f t="shared" si="10"/>
        <v>54408</v>
      </c>
      <c r="E9" s="17">
        <f t="shared" si="10"/>
        <v>56075</v>
      </c>
      <c r="F9" s="17">
        <f t="shared" si="10"/>
        <v>59705</v>
      </c>
      <c r="G9" s="17">
        <f t="shared" si="10"/>
        <v>67210</v>
      </c>
      <c r="H9" s="17">
        <f t="shared" si="10"/>
        <v>71227</v>
      </c>
      <c r="I9" s="17">
        <f t="shared" si="10"/>
        <v>80394</v>
      </c>
      <c r="J9" s="17">
        <f t="shared" si="10"/>
        <v>79107</v>
      </c>
      <c r="K9" s="17">
        <f t="shared" si="10"/>
        <v>80866</v>
      </c>
      <c r="L9" s="17">
        <f t="shared" si="10"/>
        <v>81259</v>
      </c>
      <c r="M9" s="17">
        <f t="shared" si="10"/>
        <v>82421</v>
      </c>
      <c r="N9" s="17">
        <f t="shared" si="10"/>
        <v>84112</v>
      </c>
      <c r="O9" s="17">
        <f t="shared" si="10"/>
        <v>86380</v>
      </c>
      <c r="P9" s="17">
        <f t="shared" si="10"/>
        <v>89345</v>
      </c>
      <c r="Q9" s="17">
        <f t="shared" si="10"/>
        <v>94915</v>
      </c>
      <c r="R9" s="17">
        <f t="shared" si="10"/>
        <v>109040</v>
      </c>
      <c r="S9" s="17">
        <f>SUM(S2:S8)</f>
        <v>107637</v>
      </c>
      <c r="T9" s="17">
        <f>SUM(T2:T8)</f>
        <v>108251</v>
      </c>
      <c r="U9" s="17">
        <f>SUM(U2:U8)</f>
        <v>108438</v>
      </c>
      <c r="V9" s="16">
        <f>SUM(V2:V8)</f>
        <v>109746</v>
      </c>
    </row>
    <row r="10" spans="1:22" x14ac:dyDescent="0.25">
      <c r="A10" s="18" t="s">
        <v>103</v>
      </c>
      <c r="B10" s="17">
        <v>0</v>
      </c>
      <c r="C10" s="17">
        <v>200</v>
      </c>
      <c r="D10" s="17">
        <f>SUM(C10+I24)</f>
        <v>300</v>
      </c>
      <c r="E10" s="17">
        <f>SUM(D10+I24)</f>
        <v>400</v>
      </c>
      <c r="F10" s="17">
        <f>SUM(E10+I24)</f>
        <v>500</v>
      </c>
      <c r="G10" s="17">
        <f>SUM(F10+I24)</f>
        <v>600</v>
      </c>
      <c r="H10" s="17">
        <f>SUM(G10+I24)</f>
        <v>700</v>
      </c>
      <c r="I10" s="17">
        <f>SUM(H10+I24)</f>
        <v>800</v>
      </c>
      <c r="J10" s="17">
        <f>SUM(I10+I24)</f>
        <v>900</v>
      </c>
      <c r="K10" s="17">
        <f>SUM(J10+I24)</f>
        <v>1000</v>
      </c>
      <c r="L10" s="17">
        <f>SUM(K10+I24)</f>
        <v>1100</v>
      </c>
      <c r="M10" s="17">
        <f>SUM(L10+I24)</f>
        <v>1200</v>
      </c>
      <c r="N10" s="17">
        <f>SUM(M10+I24)</f>
        <v>1300</v>
      </c>
      <c r="O10" s="17">
        <f>SUM(N10+I24)</f>
        <v>1400</v>
      </c>
      <c r="P10" s="17">
        <f>SUM(O10+I24)</f>
        <v>1500</v>
      </c>
      <c r="Q10" s="17">
        <f>SUM(P10+I24)</f>
        <v>1600</v>
      </c>
      <c r="R10" s="17">
        <f>SUM(Q10+I24)</f>
        <v>1700</v>
      </c>
      <c r="S10" s="17">
        <f>SUM(R10+I24)</f>
        <v>1800</v>
      </c>
      <c r="T10" s="17">
        <f>SUM(S10+I24)</f>
        <v>1900</v>
      </c>
      <c r="U10" s="17">
        <f>SUM(T10+I24)</f>
        <v>2000</v>
      </c>
      <c r="V10" s="16">
        <f>SUM(U10+I24)</f>
        <v>2100</v>
      </c>
    </row>
    <row r="11" spans="1:22" x14ac:dyDescent="0.25">
      <c r="A11" s="18" t="s">
        <v>101</v>
      </c>
      <c r="B11" s="17">
        <v>0</v>
      </c>
      <c r="C11" s="17">
        <v>1500</v>
      </c>
      <c r="D11" s="17">
        <f>SUM(C11+I25)</f>
        <v>2250</v>
      </c>
      <c r="E11" s="17">
        <f>SUM(D11+I25)</f>
        <v>3000</v>
      </c>
      <c r="F11" s="17">
        <f>SUM(E11+I25)</f>
        <v>3750</v>
      </c>
      <c r="G11" s="17">
        <f>SUM(F11+I25)</f>
        <v>4500</v>
      </c>
      <c r="H11" s="17">
        <f>SUM(G11+I25)</f>
        <v>5250</v>
      </c>
      <c r="I11" s="17">
        <f>SUM(H11+I25)</f>
        <v>6000</v>
      </c>
      <c r="J11" s="17">
        <f>SUM(I11+I25)</f>
        <v>6750</v>
      </c>
      <c r="K11" s="17">
        <f>SUM(J11+I25)</f>
        <v>7500</v>
      </c>
      <c r="L11" s="17">
        <f>SUM(K11+I25)</f>
        <v>8250</v>
      </c>
      <c r="M11" s="17">
        <f>SUM(L11+I25)</f>
        <v>9000</v>
      </c>
      <c r="N11" s="17">
        <f>SUM(M11+I25)</f>
        <v>9750</v>
      </c>
      <c r="O11" s="17">
        <f>SUM(N11+I25)</f>
        <v>10500</v>
      </c>
      <c r="P11" s="17">
        <f>SUM(O11+I25)</f>
        <v>11250</v>
      </c>
      <c r="Q11" s="17">
        <f>SUM(P11+I25)</f>
        <v>12000</v>
      </c>
      <c r="R11" s="17">
        <f>SUM(Q11+I25)</f>
        <v>12750</v>
      </c>
      <c r="S11" s="17">
        <f>SUM(R11+I25)</f>
        <v>13500</v>
      </c>
      <c r="T11" s="17">
        <f>SUM(S11+I25)</f>
        <v>14250</v>
      </c>
      <c r="U11" s="17">
        <f>SUM(T11+I25)</f>
        <v>15000</v>
      </c>
      <c r="V11" s="16">
        <f>SUM(U11+I25)</f>
        <v>15750</v>
      </c>
    </row>
    <row r="12" spans="1:22" x14ac:dyDescent="0.25">
      <c r="A12" s="18" t="s">
        <v>102</v>
      </c>
      <c r="B12" s="17">
        <v>0</v>
      </c>
      <c r="C12" s="17">
        <v>3000</v>
      </c>
      <c r="D12" s="17">
        <f>SUM(C12+I26)</f>
        <v>4500</v>
      </c>
      <c r="E12" s="17">
        <f>SUM(D12+I26)</f>
        <v>6000</v>
      </c>
      <c r="F12" s="17">
        <f>SUM(E12+I26)</f>
        <v>7500</v>
      </c>
      <c r="G12" s="17">
        <f>SUM(F12+I26)</f>
        <v>9000</v>
      </c>
      <c r="H12" s="17">
        <f>SUM(G12+I26)</f>
        <v>10500</v>
      </c>
      <c r="I12" s="17">
        <f>SUM(H12+I26)</f>
        <v>12000</v>
      </c>
      <c r="J12" s="17">
        <f>SUM(I12+I26)</f>
        <v>13500</v>
      </c>
      <c r="K12" s="17">
        <f>SUM(J12+I26)</f>
        <v>15000</v>
      </c>
      <c r="L12" s="17">
        <f>SUM(K12+I26)</f>
        <v>16500</v>
      </c>
      <c r="M12" s="17">
        <f>SUM(L12+I26)</f>
        <v>18000</v>
      </c>
      <c r="N12" s="17">
        <f>SUM(M12+I26)</f>
        <v>19500</v>
      </c>
      <c r="O12" s="17">
        <f>SUM(N12+I26)</f>
        <v>21000</v>
      </c>
      <c r="P12" s="17">
        <f>SUM(O12+I26)</f>
        <v>22500</v>
      </c>
      <c r="Q12" s="17">
        <f>SUM(P12+I26)</f>
        <v>24000</v>
      </c>
      <c r="R12" s="17">
        <f>SUM(Q12+I26)</f>
        <v>25500</v>
      </c>
      <c r="S12" s="17">
        <f>SUM(R12+I26)</f>
        <v>27000</v>
      </c>
      <c r="T12" s="17">
        <f>SUM(S12+I26)</f>
        <v>28500</v>
      </c>
      <c r="U12" s="17">
        <f>SUM(T12+I26)</f>
        <v>30000</v>
      </c>
      <c r="V12" s="16">
        <f>SUM(U12+I26)</f>
        <v>31500</v>
      </c>
    </row>
    <row r="13" spans="1:22" x14ac:dyDescent="0.25">
      <c r="A13" s="18" t="s">
        <v>90</v>
      </c>
      <c r="B13" s="17">
        <f>SUM(B10:B12)</f>
        <v>0</v>
      </c>
      <c r="C13" s="17">
        <f t="shared" ref="C13:V13" si="11">SUM(C10:C12)</f>
        <v>4700</v>
      </c>
      <c r="D13" s="17">
        <f t="shared" si="11"/>
        <v>7050</v>
      </c>
      <c r="E13" s="17">
        <f t="shared" si="11"/>
        <v>9400</v>
      </c>
      <c r="F13" s="17">
        <f t="shared" si="11"/>
        <v>11750</v>
      </c>
      <c r="G13" s="17">
        <f>SUM(G10:G12)</f>
        <v>14100</v>
      </c>
      <c r="H13" s="17">
        <f t="shared" si="11"/>
        <v>16450</v>
      </c>
      <c r="I13" s="17">
        <f t="shared" si="11"/>
        <v>18800</v>
      </c>
      <c r="J13" s="17">
        <f t="shared" si="11"/>
        <v>21150</v>
      </c>
      <c r="K13" s="17">
        <f t="shared" si="11"/>
        <v>23500</v>
      </c>
      <c r="L13" s="17">
        <f t="shared" si="11"/>
        <v>25850</v>
      </c>
      <c r="M13" s="17">
        <f t="shared" si="11"/>
        <v>28200</v>
      </c>
      <c r="N13" s="17">
        <f t="shared" si="11"/>
        <v>30550</v>
      </c>
      <c r="O13" s="17">
        <f t="shared" si="11"/>
        <v>32900</v>
      </c>
      <c r="P13" s="17">
        <f t="shared" si="11"/>
        <v>35250</v>
      </c>
      <c r="Q13" s="17">
        <f t="shared" si="11"/>
        <v>37600</v>
      </c>
      <c r="R13" s="17">
        <f t="shared" si="11"/>
        <v>39950</v>
      </c>
      <c r="S13" s="17">
        <f t="shared" si="11"/>
        <v>42300</v>
      </c>
      <c r="T13" s="17">
        <f t="shared" si="11"/>
        <v>44650</v>
      </c>
      <c r="U13" s="17">
        <f t="shared" si="11"/>
        <v>47000</v>
      </c>
      <c r="V13" s="16">
        <f t="shared" si="11"/>
        <v>49350</v>
      </c>
    </row>
    <row r="14" spans="1:22" x14ac:dyDescent="0.25">
      <c r="A14" s="18" t="s">
        <v>91</v>
      </c>
      <c r="B14" s="17">
        <f>B13-B9</f>
        <v>-60900</v>
      </c>
      <c r="C14" s="17">
        <f t="shared" ref="C14:V14" si="12">C13-C9</f>
        <v>-48809</v>
      </c>
      <c r="D14" s="17">
        <f t="shared" si="12"/>
        <v>-47358</v>
      </c>
      <c r="E14" s="17">
        <f t="shared" si="12"/>
        <v>-46675</v>
      </c>
      <c r="F14" s="17">
        <f t="shared" si="12"/>
        <v>-47955</v>
      </c>
      <c r="G14" s="17">
        <f t="shared" si="12"/>
        <v>-53110</v>
      </c>
      <c r="H14" s="17">
        <f t="shared" si="12"/>
        <v>-54777</v>
      </c>
      <c r="I14" s="17">
        <f t="shared" si="12"/>
        <v>-61594</v>
      </c>
      <c r="J14" s="17">
        <f t="shared" si="12"/>
        <v>-57957</v>
      </c>
      <c r="K14" s="17">
        <f t="shared" si="12"/>
        <v>-57366</v>
      </c>
      <c r="L14" s="17">
        <f t="shared" si="12"/>
        <v>-55409</v>
      </c>
      <c r="M14" s="17">
        <f t="shared" si="12"/>
        <v>-54221</v>
      </c>
      <c r="N14" s="17">
        <f t="shared" si="12"/>
        <v>-53562</v>
      </c>
      <c r="O14" s="17">
        <f t="shared" si="12"/>
        <v>-53480</v>
      </c>
      <c r="P14" s="17">
        <f t="shared" si="12"/>
        <v>-54095</v>
      </c>
      <c r="Q14" s="17">
        <f t="shared" si="12"/>
        <v>-57315</v>
      </c>
      <c r="R14" s="17">
        <f t="shared" si="12"/>
        <v>-69090</v>
      </c>
      <c r="S14" s="17">
        <f t="shared" si="12"/>
        <v>-65337</v>
      </c>
      <c r="T14" s="17">
        <f t="shared" si="12"/>
        <v>-63601</v>
      </c>
      <c r="U14" s="17">
        <f t="shared" si="12"/>
        <v>-61438</v>
      </c>
      <c r="V14" s="16">
        <f t="shared" si="12"/>
        <v>-60396</v>
      </c>
    </row>
    <row r="15" spans="1:22" ht="15.75" thickBot="1" x14ac:dyDescent="0.3">
      <c r="A15" s="20" t="s">
        <v>97</v>
      </c>
      <c r="B15" s="24">
        <f>B14/B9</f>
        <v>-1</v>
      </c>
      <c r="C15" s="24">
        <f>C14/C9</f>
        <v>-0.91216430880786414</v>
      </c>
      <c r="D15" s="24">
        <f t="shared" ref="D15:V15" si="13">D14/D9</f>
        <v>-0.87042346713718566</v>
      </c>
      <c r="E15" s="24">
        <f t="shared" si="13"/>
        <v>-0.83236736513597864</v>
      </c>
      <c r="F15" s="24">
        <f t="shared" si="13"/>
        <v>-0.80319906205510427</v>
      </c>
      <c r="G15" s="24">
        <f t="shared" si="13"/>
        <v>-0.79020979020979021</v>
      </c>
      <c r="H15" s="24">
        <f t="shared" si="13"/>
        <v>-0.76904825417327694</v>
      </c>
      <c r="I15" s="24">
        <f t="shared" si="13"/>
        <v>-0.76615170286339773</v>
      </c>
      <c r="J15" s="24">
        <f t="shared" si="13"/>
        <v>-0.73264060070537373</v>
      </c>
      <c r="K15" s="24">
        <f t="shared" si="13"/>
        <v>-0.709395790567111</v>
      </c>
      <c r="L15" s="24">
        <f t="shared" si="13"/>
        <v>-0.68188139159969974</v>
      </c>
      <c r="M15" s="24">
        <f t="shared" si="13"/>
        <v>-0.65785418764635228</v>
      </c>
      <c r="N15" s="24">
        <f t="shared" si="13"/>
        <v>-0.63679379874453113</v>
      </c>
      <c r="O15" s="24">
        <f t="shared" si="13"/>
        <v>-0.61912479740680715</v>
      </c>
      <c r="P15" s="24">
        <f t="shared" si="13"/>
        <v>-0.60546197324976214</v>
      </c>
      <c r="Q15" s="24">
        <f t="shared" si="13"/>
        <v>-0.60385608175736183</v>
      </c>
      <c r="R15" s="24">
        <f t="shared" si="13"/>
        <v>-0.63362068965517238</v>
      </c>
      <c r="S15" s="24">
        <f t="shared" si="13"/>
        <v>-0.607012458541208</v>
      </c>
      <c r="T15" s="24">
        <f t="shared" si="13"/>
        <v>-0.58753267868195214</v>
      </c>
      <c r="U15" s="24">
        <f t="shared" si="13"/>
        <v>-0.56657260369981</v>
      </c>
      <c r="V15" s="25">
        <f t="shared" si="13"/>
        <v>-0.55032529659395335</v>
      </c>
    </row>
    <row r="16" spans="1:22" ht="15.75" thickBot="1" x14ac:dyDescent="0.3">
      <c r="A16" s="43"/>
      <c r="B16" s="44">
        <v>0.01</v>
      </c>
      <c r="C16" s="44">
        <v>0.02</v>
      </c>
      <c r="D16" s="44">
        <v>0.03</v>
      </c>
      <c r="E16" s="45">
        <v>0.04</v>
      </c>
      <c r="F16" s="44">
        <v>0.05</v>
      </c>
      <c r="G16" s="44">
        <v>0.1</v>
      </c>
      <c r="H16" s="44">
        <v>0.25</v>
      </c>
      <c r="I16" s="46">
        <v>0.5</v>
      </c>
    </row>
    <row r="17" spans="1:9" x14ac:dyDescent="0.25">
      <c r="A17" s="26" t="s">
        <v>82</v>
      </c>
      <c r="B17" s="17">
        <f t="shared" ref="B17:B23" si="14">B2*0.01</f>
        <v>239</v>
      </c>
      <c r="C17" s="17">
        <f>B2*0.02</f>
        <v>478</v>
      </c>
      <c r="D17" s="17">
        <f>B17*3</f>
        <v>717</v>
      </c>
      <c r="E17" s="17">
        <f>B17*4</f>
        <v>956</v>
      </c>
      <c r="F17" s="17">
        <f>B17*5</f>
        <v>1195</v>
      </c>
      <c r="G17" s="17">
        <f>B17*10</f>
        <v>2390</v>
      </c>
      <c r="H17" s="17">
        <f>B2*0.25</f>
        <v>5975</v>
      </c>
      <c r="I17" s="16"/>
    </row>
    <row r="18" spans="1:9" x14ac:dyDescent="0.25">
      <c r="A18" s="18" t="s">
        <v>73</v>
      </c>
      <c r="B18" s="17">
        <f t="shared" si="14"/>
        <v>20</v>
      </c>
      <c r="C18" s="17">
        <f t="shared" ref="C18:C23" si="15">B3*0.02</f>
        <v>40</v>
      </c>
      <c r="D18" s="17">
        <f t="shared" ref="D18:D23" si="16">B18*3</f>
        <v>60</v>
      </c>
      <c r="E18" s="17">
        <f t="shared" ref="E18:E23" si="17">B18*4</f>
        <v>80</v>
      </c>
      <c r="F18" s="17">
        <f t="shared" ref="F18:F23" si="18">B3*0.05</f>
        <v>100</v>
      </c>
      <c r="G18" s="17">
        <f>B3*0.1</f>
        <v>200</v>
      </c>
      <c r="H18" s="17">
        <f>B3*0.25</f>
        <v>500</v>
      </c>
      <c r="I18" s="16"/>
    </row>
    <row r="19" spans="1:9" x14ac:dyDescent="0.25">
      <c r="A19" s="18" t="s">
        <v>75</v>
      </c>
      <c r="B19" s="17">
        <f t="shared" si="14"/>
        <v>8</v>
      </c>
      <c r="C19" s="17">
        <f t="shared" si="15"/>
        <v>16</v>
      </c>
      <c r="D19" s="17">
        <f t="shared" si="16"/>
        <v>24</v>
      </c>
      <c r="E19" s="17">
        <f t="shared" si="17"/>
        <v>32</v>
      </c>
      <c r="F19" s="17">
        <f t="shared" si="18"/>
        <v>40</v>
      </c>
      <c r="G19" s="17">
        <f>B4*0.1</f>
        <v>80</v>
      </c>
      <c r="H19" s="17">
        <f>B4*0.25</f>
        <v>200</v>
      </c>
      <c r="I19" s="16"/>
    </row>
    <row r="20" spans="1:9" x14ac:dyDescent="0.25">
      <c r="A20" s="18" t="s">
        <v>74</v>
      </c>
      <c r="B20" s="17">
        <f t="shared" si="14"/>
        <v>80</v>
      </c>
      <c r="C20" s="17">
        <f t="shared" si="15"/>
        <v>160</v>
      </c>
      <c r="D20" s="17">
        <f t="shared" si="16"/>
        <v>240</v>
      </c>
      <c r="E20" s="17">
        <f t="shared" si="17"/>
        <v>320</v>
      </c>
      <c r="F20" s="17">
        <f t="shared" si="18"/>
        <v>400</v>
      </c>
      <c r="G20" s="17">
        <f>B20*10</f>
        <v>800</v>
      </c>
      <c r="H20" s="17">
        <f>B20*25</f>
        <v>2000</v>
      </c>
      <c r="I20" s="16"/>
    </row>
    <row r="21" spans="1:9" x14ac:dyDescent="0.25">
      <c r="A21" s="18" t="s">
        <v>100</v>
      </c>
      <c r="B21" s="17">
        <f t="shared" si="14"/>
        <v>250</v>
      </c>
      <c r="C21" s="17">
        <f t="shared" si="15"/>
        <v>500</v>
      </c>
      <c r="D21" s="17">
        <f t="shared" si="16"/>
        <v>750</v>
      </c>
      <c r="E21" s="17">
        <f t="shared" si="17"/>
        <v>1000</v>
      </c>
      <c r="F21" s="17">
        <f t="shared" si="18"/>
        <v>1250</v>
      </c>
      <c r="G21" s="17">
        <f>B6*0.1</f>
        <v>2500</v>
      </c>
      <c r="H21" s="17">
        <f>B6*0.25</f>
        <v>6250</v>
      </c>
      <c r="I21" s="16"/>
    </row>
    <row r="22" spans="1:9" x14ac:dyDescent="0.25">
      <c r="A22" s="18" t="s">
        <v>84</v>
      </c>
      <c r="B22" s="17">
        <f t="shared" si="14"/>
        <v>0</v>
      </c>
      <c r="C22" s="17">
        <f t="shared" si="15"/>
        <v>0</v>
      </c>
      <c r="D22" s="17">
        <f t="shared" si="16"/>
        <v>0</v>
      </c>
      <c r="E22" s="17">
        <f t="shared" si="17"/>
        <v>0</v>
      </c>
      <c r="F22" s="17">
        <f t="shared" si="18"/>
        <v>0</v>
      </c>
      <c r="G22" s="17">
        <f>B7*0.1</f>
        <v>0</v>
      </c>
      <c r="H22" s="17">
        <f>B7*0.25</f>
        <v>0</v>
      </c>
      <c r="I22" s="16"/>
    </row>
    <row r="23" spans="1:9" x14ac:dyDescent="0.25">
      <c r="A23" s="18" t="s">
        <v>85</v>
      </c>
      <c r="B23" s="17">
        <f t="shared" si="14"/>
        <v>12</v>
      </c>
      <c r="C23" s="17">
        <f t="shared" si="15"/>
        <v>24</v>
      </c>
      <c r="D23" s="17">
        <f t="shared" si="16"/>
        <v>36</v>
      </c>
      <c r="E23" s="17">
        <f t="shared" si="17"/>
        <v>48</v>
      </c>
      <c r="F23" s="17">
        <f t="shared" si="18"/>
        <v>60</v>
      </c>
      <c r="G23" s="17">
        <f>B8*0.1</f>
        <v>120</v>
      </c>
      <c r="H23" s="17">
        <f>B8*0.25</f>
        <v>300</v>
      </c>
      <c r="I23" s="16"/>
    </row>
    <row r="24" spans="1:9" x14ac:dyDescent="0.25">
      <c r="A24" s="18" t="s">
        <v>87</v>
      </c>
      <c r="B24" s="17"/>
      <c r="C24" s="33"/>
      <c r="D24" s="33"/>
      <c r="E24" s="33"/>
      <c r="F24" s="17"/>
      <c r="G24" s="17"/>
      <c r="H24" s="17"/>
      <c r="I24" s="16">
        <f>SUM(C10*0.5)</f>
        <v>100</v>
      </c>
    </row>
    <row r="25" spans="1:9" x14ac:dyDescent="0.25">
      <c r="A25" s="18" t="s">
        <v>88</v>
      </c>
      <c r="B25" s="17"/>
      <c r="C25" s="33"/>
      <c r="D25" s="33"/>
      <c r="E25" s="33"/>
      <c r="F25" s="17"/>
      <c r="G25" s="17"/>
      <c r="H25" s="17"/>
      <c r="I25" s="16">
        <f>SUM(C11*0.5)</f>
        <v>750</v>
      </c>
    </row>
    <row r="26" spans="1:9" ht="15.75" thickBot="1" x14ac:dyDescent="0.3">
      <c r="A26" s="20" t="s">
        <v>89</v>
      </c>
      <c r="B26" s="41"/>
      <c r="C26" s="35"/>
      <c r="D26" s="35"/>
      <c r="E26" s="35"/>
      <c r="F26" s="41"/>
      <c r="G26" s="41"/>
      <c r="H26" s="41"/>
      <c r="I26" s="42">
        <f>SUM(C12*0.5)</f>
        <v>1500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80"/>
  <sheetViews>
    <sheetView tabSelected="1" topLeftCell="A55" zoomScaleNormal="100" workbookViewId="0">
      <selection activeCell="F69" sqref="F69"/>
    </sheetView>
  </sheetViews>
  <sheetFormatPr defaultRowHeight="15" x14ac:dyDescent="0.25"/>
  <cols>
    <col min="1" max="1" width="26.85546875" bestFit="1" customWidth="1"/>
    <col min="2" max="2" width="15.140625" bestFit="1" customWidth="1"/>
    <col min="3" max="3" width="14.42578125" bestFit="1" customWidth="1"/>
    <col min="4" max="4" width="12.5703125" bestFit="1" customWidth="1"/>
    <col min="5" max="7" width="11.85546875" bestFit="1" customWidth="1"/>
    <col min="8" max="10" width="13.7109375" bestFit="1" customWidth="1"/>
    <col min="11" max="11" width="12.5703125" bestFit="1" customWidth="1"/>
    <col min="12" max="12" width="12.85546875" bestFit="1" customWidth="1"/>
    <col min="13" max="13" width="12.5703125" bestFit="1" customWidth="1"/>
    <col min="14" max="14" width="15.140625" bestFit="1" customWidth="1"/>
    <col min="15" max="15" width="14.42578125" bestFit="1" customWidth="1"/>
    <col min="16" max="22" width="12.5703125" bestFit="1" customWidth="1"/>
  </cols>
  <sheetData>
    <row r="1" spans="1:14" ht="15.75" thickBot="1" x14ac:dyDescent="0.3">
      <c r="A1" s="128" t="s">
        <v>99</v>
      </c>
      <c r="B1" s="87" t="s">
        <v>78</v>
      </c>
      <c r="C1" s="133" t="s">
        <v>76</v>
      </c>
      <c r="D1" s="133" t="s">
        <v>77</v>
      </c>
      <c r="E1" s="133" t="s">
        <v>79</v>
      </c>
      <c r="F1" s="133" t="s">
        <v>80</v>
      </c>
      <c r="G1" s="134" t="s">
        <v>81</v>
      </c>
      <c r="H1" s="128" t="s">
        <v>92</v>
      </c>
      <c r="I1" s="88" t="s">
        <v>93</v>
      </c>
      <c r="J1" s="88" t="s">
        <v>94</v>
      </c>
      <c r="K1" s="128" t="s">
        <v>95</v>
      </c>
      <c r="L1" s="128" t="s">
        <v>96</v>
      </c>
    </row>
    <row r="2" spans="1:14" x14ac:dyDescent="0.25">
      <c r="A2" s="116" t="s">
        <v>82</v>
      </c>
      <c r="B2" s="49">
        <v>38400</v>
      </c>
      <c r="C2" s="23">
        <f t="shared" ref="C2:C9" si="0">B2+B19</f>
        <v>38784</v>
      </c>
      <c r="D2" s="23">
        <f t="shared" ref="D2:D8" si="1">C2+B19</f>
        <v>39168</v>
      </c>
      <c r="E2" s="23">
        <f t="shared" ref="E2:E8" si="2">F19+D2</f>
        <v>41088</v>
      </c>
      <c r="F2" s="23">
        <f t="shared" ref="F2:F8" si="3">E2+C19</f>
        <v>41856</v>
      </c>
      <c r="G2" s="23">
        <f t="shared" ref="G2:G8" si="4">F2+C19</f>
        <v>42624</v>
      </c>
      <c r="H2" s="23">
        <f t="shared" ref="H2:I8" si="5">G2+B19</f>
        <v>43008</v>
      </c>
      <c r="I2" s="23">
        <f t="shared" si="5"/>
        <v>43776</v>
      </c>
      <c r="J2" s="23">
        <f t="shared" ref="J2:J8" si="6">I2-F19</f>
        <v>41856</v>
      </c>
      <c r="K2" s="23">
        <f t="shared" ref="K2:K8" si="7">J2-B19</f>
        <v>41472</v>
      </c>
      <c r="L2" s="48">
        <f t="shared" ref="L2:L8" si="8">K2-F19</f>
        <v>39552</v>
      </c>
    </row>
    <row r="3" spans="1:14" x14ac:dyDescent="0.25">
      <c r="A3" s="117" t="s">
        <v>73</v>
      </c>
      <c r="B3" s="49">
        <v>2000</v>
      </c>
      <c r="C3" s="23">
        <f t="shared" si="0"/>
        <v>2020</v>
      </c>
      <c r="D3" s="23">
        <f t="shared" si="1"/>
        <v>2040</v>
      </c>
      <c r="E3" s="23">
        <f t="shared" si="2"/>
        <v>2140</v>
      </c>
      <c r="F3" s="23">
        <f t="shared" si="3"/>
        <v>2180</v>
      </c>
      <c r="G3" s="23">
        <f t="shared" si="4"/>
        <v>2220</v>
      </c>
      <c r="H3" s="23">
        <f t="shared" si="5"/>
        <v>2240</v>
      </c>
      <c r="I3" s="23">
        <f t="shared" si="5"/>
        <v>2280</v>
      </c>
      <c r="J3" s="23">
        <f t="shared" si="6"/>
        <v>2180</v>
      </c>
      <c r="K3" s="23">
        <f t="shared" si="7"/>
        <v>2160</v>
      </c>
      <c r="L3" s="48">
        <f t="shared" si="8"/>
        <v>2060</v>
      </c>
    </row>
    <row r="4" spans="1:14" x14ac:dyDescent="0.25">
      <c r="A4" s="118" t="s">
        <v>75</v>
      </c>
      <c r="B4" s="49">
        <v>800</v>
      </c>
      <c r="C4" s="23">
        <f t="shared" si="0"/>
        <v>808</v>
      </c>
      <c r="D4" s="23">
        <f t="shared" si="1"/>
        <v>816</v>
      </c>
      <c r="E4" s="23">
        <f t="shared" si="2"/>
        <v>856</v>
      </c>
      <c r="F4" s="23">
        <f t="shared" si="3"/>
        <v>872</v>
      </c>
      <c r="G4" s="23">
        <f t="shared" si="4"/>
        <v>888</v>
      </c>
      <c r="H4" s="23">
        <f t="shared" si="5"/>
        <v>896</v>
      </c>
      <c r="I4" s="23">
        <f t="shared" si="5"/>
        <v>912</v>
      </c>
      <c r="J4" s="23">
        <f t="shared" si="6"/>
        <v>872</v>
      </c>
      <c r="K4" s="23">
        <f t="shared" si="7"/>
        <v>864</v>
      </c>
      <c r="L4" s="48">
        <f t="shared" si="8"/>
        <v>824</v>
      </c>
    </row>
    <row r="5" spans="1:14" x14ac:dyDescent="0.25">
      <c r="A5" s="117" t="s">
        <v>74</v>
      </c>
      <c r="B5" s="50">
        <v>8000</v>
      </c>
      <c r="C5" s="51">
        <f t="shared" si="0"/>
        <v>8080</v>
      </c>
      <c r="D5" s="51">
        <f t="shared" si="1"/>
        <v>8160</v>
      </c>
      <c r="E5" s="51">
        <f t="shared" si="2"/>
        <v>8560</v>
      </c>
      <c r="F5" s="51">
        <f t="shared" si="3"/>
        <v>8720</v>
      </c>
      <c r="G5" s="51">
        <f t="shared" si="4"/>
        <v>8880</v>
      </c>
      <c r="H5" s="51">
        <f t="shared" si="5"/>
        <v>8960</v>
      </c>
      <c r="I5" s="51">
        <f t="shared" si="5"/>
        <v>9120</v>
      </c>
      <c r="J5" s="51">
        <f t="shared" si="6"/>
        <v>8720</v>
      </c>
      <c r="K5" s="51">
        <f t="shared" si="7"/>
        <v>8640</v>
      </c>
      <c r="L5" s="62">
        <f t="shared" si="8"/>
        <v>8240</v>
      </c>
    </row>
    <row r="6" spans="1:14" x14ac:dyDescent="0.25">
      <c r="A6" s="117" t="s">
        <v>100</v>
      </c>
      <c r="B6" s="50">
        <v>965</v>
      </c>
      <c r="C6" s="51">
        <f t="shared" si="0"/>
        <v>974.65</v>
      </c>
      <c r="D6" s="51">
        <f t="shared" si="1"/>
        <v>984.3</v>
      </c>
      <c r="E6" s="51">
        <f t="shared" si="2"/>
        <v>1032.55</v>
      </c>
      <c r="F6" s="51">
        <f t="shared" si="3"/>
        <v>1051.8499999999999</v>
      </c>
      <c r="G6" s="51">
        <f t="shared" si="4"/>
        <v>1071.1499999999999</v>
      </c>
      <c r="H6" s="51">
        <f t="shared" si="5"/>
        <v>1080.8</v>
      </c>
      <c r="I6" s="51">
        <f t="shared" si="5"/>
        <v>1100.0999999999999</v>
      </c>
      <c r="J6" s="51">
        <f t="shared" si="6"/>
        <v>1051.8499999999999</v>
      </c>
      <c r="K6" s="51">
        <f t="shared" si="7"/>
        <v>1042.1999999999998</v>
      </c>
      <c r="L6" s="62">
        <f t="shared" si="8"/>
        <v>993.94999999999982</v>
      </c>
    </row>
    <row r="7" spans="1:14" x14ac:dyDescent="0.25">
      <c r="A7" s="117" t="s">
        <v>84</v>
      </c>
      <c r="B7" s="50">
        <v>4990</v>
      </c>
      <c r="C7" s="51">
        <f t="shared" si="0"/>
        <v>5039.8999999999996</v>
      </c>
      <c r="D7" s="51">
        <f t="shared" si="1"/>
        <v>5089.7999999999993</v>
      </c>
      <c r="E7" s="51">
        <f t="shared" si="2"/>
        <v>5339.2999999999993</v>
      </c>
      <c r="F7" s="51">
        <f t="shared" si="3"/>
        <v>5439.0999999999995</v>
      </c>
      <c r="G7" s="51">
        <f t="shared" si="4"/>
        <v>5538.9</v>
      </c>
      <c r="H7" s="51">
        <f t="shared" si="5"/>
        <v>5588.7999999999993</v>
      </c>
      <c r="I7" s="51">
        <f t="shared" si="5"/>
        <v>5688.5999999999995</v>
      </c>
      <c r="J7" s="51">
        <f t="shared" si="6"/>
        <v>5439.0999999999995</v>
      </c>
      <c r="K7" s="51">
        <f t="shared" si="7"/>
        <v>5389.2</v>
      </c>
      <c r="L7" s="62">
        <f t="shared" si="8"/>
        <v>5139.7</v>
      </c>
    </row>
    <row r="8" spans="1:14" x14ac:dyDescent="0.25">
      <c r="A8" s="117" t="s">
        <v>85</v>
      </c>
      <c r="B8" s="50">
        <v>4900</v>
      </c>
      <c r="C8" s="51">
        <f t="shared" si="0"/>
        <v>4949</v>
      </c>
      <c r="D8" s="51">
        <f t="shared" si="1"/>
        <v>4998</v>
      </c>
      <c r="E8" s="51">
        <f t="shared" si="2"/>
        <v>5243</v>
      </c>
      <c r="F8" s="51">
        <f t="shared" si="3"/>
        <v>5341</v>
      </c>
      <c r="G8" s="51">
        <f t="shared" si="4"/>
        <v>5439</v>
      </c>
      <c r="H8" s="51">
        <f t="shared" si="5"/>
        <v>5488</v>
      </c>
      <c r="I8" s="51">
        <f t="shared" si="5"/>
        <v>5586</v>
      </c>
      <c r="J8" s="51">
        <f t="shared" si="6"/>
        <v>5341</v>
      </c>
      <c r="K8" s="51">
        <f t="shared" si="7"/>
        <v>5292</v>
      </c>
      <c r="L8" s="62">
        <f t="shared" si="8"/>
        <v>5047</v>
      </c>
    </row>
    <row r="9" spans="1:14" x14ac:dyDescent="0.25">
      <c r="A9" s="117" t="s">
        <v>117</v>
      </c>
      <c r="B9" s="50">
        <v>359</v>
      </c>
      <c r="C9" s="51">
        <f t="shared" si="0"/>
        <v>362.59</v>
      </c>
      <c r="D9" s="51">
        <f t="shared" ref="D9:L9" si="9">C9+C26</f>
        <v>369.77</v>
      </c>
      <c r="E9" s="51">
        <f t="shared" si="9"/>
        <v>380.53999999999996</v>
      </c>
      <c r="F9" s="51">
        <f t="shared" si="9"/>
        <v>394.9</v>
      </c>
      <c r="G9" s="51">
        <f t="shared" si="9"/>
        <v>412.84999999999997</v>
      </c>
      <c r="H9" s="51">
        <f t="shared" si="9"/>
        <v>412.84999999999997</v>
      </c>
      <c r="I9" s="51">
        <f t="shared" si="9"/>
        <v>412.84999999999997</v>
      </c>
      <c r="J9" s="51">
        <f>I9+M24</f>
        <v>53062.85</v>
      </c>
      <c r="K9" s="51">
        <f t="shared" si="9"/>
        <v>53062.85</v>
      </c>
      <c r="L9" s="62">
        <f t="shared" si="9"/>
        <v>53062.85</v>
      </c>
    </row>
    <row r="10" spans="1:14" x14ac:dyDescent="0.25">
      <c r="A10" s="117" t="s">
        <v>86</v>
      </c>
      <c r="B10" s="50">
        <f>SUM(B2:B9)</f>
        <v>60414</v>
      </c>
      <c r="C10" s="30">
        <f t="shared" ref="C10:L10" si="10">SUM(C2:C8)</f>
        <v>60655.55</v>
      </c>
      <c r="D10" s="30">
        <f t="shared" si="10"/>
        <v>61256.100000000006</v>
      </c>
      <c r="E10" s="30">
        <f t="shared" si="10"/>
        <v>64258.850000000006</v>
      </c>
      <c r="F10" s="30">
        <f t="shared" si="10"/>
        <v>65459.95</v>
      </c>
      <c r="G10" s="30">
        <f t="shared" si="10"/>
        <v>66661.05</v>
      </c>
      <c r="H10" s="30">
        <f t="shared" si="10"/>
        <v>67261.600000000006</v>
      </c>
      <c r="I10" s="30">
        <f t="shared" si="10"/>
        <v>68462.7</v>
      </c>
      <c r="J10" s="30">
        <f t="shared" si="10"/>
        <v>65459.95</v>
      </c>
      <c r="K10" s="30">
        <f t="shared" si="10"/>
        <v>64859.399999999994</v>
      </c>
      <c r="L10" s="58">
        <f t="shared" si="10"/>
        <v>61856.649999999994</v>
      </c>
    </row>
    <row r="11" spans="1:14" x14ac:dyDescent="0.25">
      <c r="A11" s="117" t="s">
        <v>103</v>
      </c>
      <c r="B11" s="50">
        <v>0</v>
      </c>
      <c r="C11" s="30">
        <v>2000</v>
      </c>
      <c r="D11" s="51">
        <f>C11+G28</f>
        <v>3000</v>
      </c>
      <c r="E11" s="51">
        <f>G28+D11</f>
        <v>4000</v>
      </c>
      <c r="F11" s="51">
        <f>G28+E11</f>
        <v>5000</v>
      </c>
      <c r="G11" s="51">
        <f>F11+G28</f>
        <v>6000</v>
      </c>
      <c r="H11" s="51">
        <f>G11+G28</f>
        <v>7000</v>
      </c>
      <c r="I11" s="51">
        <f>H11+G28</f>
        <v>8000</v>
      </c>
      <c r="J11" s="51">
        <f>I11+G28</f>
        <v>9000</v>
      </c>
      <c r="K11" s="51">
        <f>J11+G28</f>
        <v>10000</v>
      </c>
      <c r="L11" s="62">
        <f>K11+G28</f>
        <v>11000</v>
      </c>
    </row>
    <row r="12" spans="1:14" x14ac:dyDescent="0.25">
      <c r="A12" s="117" t="s">
        <v>101</v>
      </c>
      <c r="B12" s="50">
        <v>0</v>
      </c>
      <c r="C12" s="30">
        <v>1500</v>
      </c>
      <c r="D12" s="51">
        <f>C12+G29</f>
        <v>2250</v>
      </c>
      <c r="E12" s="51">
        <f>G29+D12</f>
        <v>3000</v>
      </c>
      <c r="F12" s="51">
        <f>G29+E12</f>
        <v>3750</v>
      </c>
      <c r="G12" s="51">
        <f>F12+G29</f>
        <v>4500</v>
      </c>
      <c r="H12" s="51">
        <f>G12+G29</f>
        <v>5250</v>
      </c>
      <c r="I12" s="51">
        <f>H12+G29</f>
        <v>6000</v>
      </c>
      <c r="J12" s="51">
        <f>I12+G29</f>
        <v>6750</v>
      </c>
      <c r="K12" s="51">
        <f>J12+G29</f>
        <v>7500</v>
      </c>
      <c r="L12" s="62">
        <f>K12+G29</f>
        <v>8250</v>
      </c>
    </row>
    <row r="13" spans="1:14" x14ac:dyDescent="0.25">
      <c r="A13" s="117" t="s">
        <v>102</v>
      </c>
      <c r="B13" s="50">
        <v>0</v>
      </c>
      <c r="C13" s="30">
        <v>3000</v>
      </c>
      <c r="D13" s="51">
        <f>C13+G30</f>
        <v>4500</v>
      </c>
      <c r="E13" s="51">
        <f>G30+D13</f>
        <v>6000</v>
      </c>
      <c r="F13" s="51">
        <f>G30+E13</f>
        <v>7500</v>
      </c>
      <c r="G13" s="51">
        <f>F13+G30</f>
        <v>9000</v>
      </c>
      <c r="H13" s="51">
        <f>G13+G30+G30</f>
        <v>12000</v>
      </c>
      <c r="I13" s="51">
        <f>H13+G30</f>
        <v>13500</v>
      </c>
      <c r="J13" s="51">
        <f>I13+G30</f>
        <v>15000</v>
      </c>
      <c r="K13" s="51">
        <f>J13+G30</f>
        <v>16500</v>
      </c>
      <c r="L13" s="62">
        <f>K13+G30</f>
        <v>18000</v>
      </c>
    </row>
    <row r="14" spans="1:14" x14ac:dyDescent="0.25">
      <c r="A14" s="117" t="s">
        <v>114</v>
      </c>
      <c r="B14" s="50">
        <v>0</v>
      </c>
      <c r="C14" s="51">
        <f>SUM(J18*100)</f>
        <v>11700</v>
      </c>
      <c r="D14" s="51">
        <f>C14+G31</f>
        <v>17550</v>
      </c>
      <c r="E14" s="51">
        <f>G31+D14</f>
        <v>23400</v>
      </c>
      <c r="F14" s="51">
        <f>G31+E14</f>
        <v>29250</v>
      </c>
      <c r="G14" s="51">
        <f>F14+G31</f>
        <v>35100</v>
      </c>
      <c r="H14" s="51">
        <f>G14+G31+G31</f>
        <v>46800</v>
      </c>
      <c r="I14" s="51">
        <f>H14+G31</f>
        <v>52650</v>
      </c>
      <c r="J14" s="51">
        <f>I14+G31</f>
        <v>58500</v>
      </c>
      <c r="K14" s="51">
        <f>J14+G31</f>
        <v>64350</v>
      </c>
      <c r="L14" s="62">
        <f>K14+G31</f>
        <v>70200</v>
      </c>
      <c r="N14" s="52"/>
    </row>
    <row r="15" spans="1:14" x14ac:dyDescent="0.25">
      <c r="A15" s="117" t="s">
        <v>90</v>
      </c>
      <c r="B15" s="50">
        <f>SUM(B11:B13)</f>
        <v>0</v>
      </c>
      <c r="C15" s="51">
        <f>SUM(C11:C14)</f>
        <v>18200</v>
      </c>
      <c r="D15" s="51">
        <f>SUM(D11:D13)</f>
        <v>9750</v>
      </c>
      <c r="E15" s="51">
        <f t="shared" ref="E15:L15" si="11">SUM(E11:E14)</f>
        <v>36400</v>
      </c>
      <c r="F15" s="51">
        <f t="shared" si="11"/>
        <v>45500</v>
      </c>
      <c r="G15" s="51">
        <f t="shared" si="11"/>
        <v>54600</v>
      </c>
      <c r="H15" s="51">
        <f t="shared" si="11"/>
        <v>71050</v>
      </c>
      <c r="I15" s="51">
        <f t="shared" si="11"/>
        <v>80150</v>
      </c>
      <c r="J15" s="51">
        <f t="shared" si="11"/>
        <v>89250</v>
      </c>
      <c r="K15" s="51">
        <f t="shared" si="11"/>
        <v>98350</v>
      </c>
      <c r="L15" s="62">
        <f t="shared" si="11"/>
        <v>107450</v>
      </c>
    </row>
    <row r="16" spans="1:14" x14ac:dyDescent="0.25">
      <c r="A16" s="117" t="s">
        <v>91</v>
      </c>
      <c r="B16" s="50">
        <f t="shared" ref="B16:L16" si="12">B15-B10</f>
        <v>-60414</v>
      </c>
      <c r="C16" s="30">
        <f t="shared" si="12"/>
        <v>-42455.55</v>
      </c>
      <c r="D16" s="30">
        <f t="shared" si="12"/>
        <v>-51506.100000000006</v>
      </c>
      <c r="E16" s="30">
        <f t="shared" si="12"/>
        <v>-27858.850000000006</v>
      </c>
      <c r="F16" s="30">
        <f t="shared" si="12"/>
        <v>-19959.949999999997</v>
      </c>
      <c r="G16" s="30">
        <f t="shared" si="12"/>
        <v>-12061.050000000003</v>
      </c>
      <c r="H16" s="30">
        <f t="shared" si="12"/>
        <v>3788.3999999999942</v>
      </c>
      <c r="I16" s="30">
        <f t="shared" si="12"/>
        <v>11687.300000000003</v>
      </c>
      <c r="J16" s="30">
        <f t="shared" si="12"/>
        <v>23790.050000000003</v>
      </c>
      <c r="K16" s="30">
        <f t="shared" si="12"/>
        <v>33490.600000000006</v>
      </c>
      <c r="L16" s="58">
        <f t="shared" si="12"/>
        <v>45593.350000000006</v>
      </c>
    </row>
    <row r="17" spans="1:16" ht="15.75" thickBot="1" x14ac:dyDescent="0.3">
      <c r="A17" s="119" t="s">
        <v>97</v>
      </c>
      <c r="B17" s="63">
        <f t="shared" ref="B17:L17" si="13">B16/B10</f>
        <v>-1</v>
      </c>
      <c r="C17" s="64">
        <f t="shared" si="13"/>
        <v>-0.69994501739741877</v>
      </c>
      <c r="D17" s="64">
        <f t="shared" si="13"/>
        <v>-0.84083217834631985</v>
      </c>
      <c r="E17" s="64">
        <f t="shared" si="13"/>
        <v>-0.43354106088110828</v>
      </c>
      <c r="F17" s="64">
        <f t="shared" si="13"/>
        <v>-0.3049185036041121</v>
      </c>
      <c r="G17" s="64">
        <f t="shared" si="13"/>
        <v>-0.18093099343619704</v>
      </c>
      <c r="H17" s="71">
        <f t="shared" si="13"/>
        <v>5.6323370243942961E-2</v>
      </c>
      <c r="I17" s="64">
        <f t="shared" si="13"/>
        <v>0.17071047446273668</v>
      </c>
      <c r="J17" s="64">
        <f t="shared" si="13"/>
        <v>0.36342908908424165</v>
      </c>
      <c r="K17" s="64">
        <f t="shared" si="13"/>
        <v>0.5163569197371547</v>
      </c>
      <c r="L17" s="65">
        <f t="shared" si="13"/>
        <v>0.73708081507808798</v>
      </c>
    </row>
    <row r="18" spans="1:16" ht="15.75" thickBot="1" x14ac:dyDescent="0.3">
      <c r="A18" s="128"/>
      <c r="B18" s="130">
        <v>0.01</v>
      </c>
      <c r="C18" s="131">
        <v>0.02</v>
      </c>
      <c r="D18" s="131">
        <v>0.03</v>
      </c>
      <c r="E18" s="130">
        <v>0.04</v>
      </c>
      <c r="F18" s="131">
        <v>0.05</v>
      </c>
      <c r="G18" s="132">
        <v>0.5</v>
      </c>
      <c r="H18" s="95" t="s">
        <v>115</v>
      </c>
      <c r="I18" s="66">
        <v>2340</v>
      </c>
      <c r="J18" s="67">
        <f>SUM(I18*0.05)</f>
        <v>117</v>
      </c>
      <c r="K18" s="33"/>
      <c r="L18" s="33"/>
    </row>
    <row r="19" spans="1:16" ht="15.75" thickBot="1" x14ac:dyDescent="0.3">
      <c r="A19" s="116" t="s">
        <v>82</v>
      </c>
      <c r="B19" s="53">
        <f t="shared" ref="B19:B26" si="14">B2*0.01</f>
        <v>384</v>
      </c>
      <c r="C19" s="54">
        <f t="shared" ref="C19:C26" si="15">B2*0.02</f>
        <v>768</v>
      </c>
      <c r="D19" s="54">
        <f t="shared" ref="D19:D26" si="16">B19*3</f>
        <v>1152</v>
      </c>
      <c r="E19" s="54">
        <f t="shared" ref="E19:E26" si="17">B19*4</f>
        <v>1536</v>
      </c>
      <c r="F19" s="54">
        <f>B19*5</f>
        <v>1920</v>
      </c>
      <c r="G19" s="70"/>
      <c r="H19" s="86" t="s">
        <v>116</v>
      </c>
      <c r="I19" s="68">
        <f>SUM(I18*100)</f>
        <v>234000</v>
      </c>
      <c r="J19" s="69">
        <f>SUM(J18*100)</f>
        <v>11700</v>
      </c>
      <c r="K19" s="33"/>
      <c r="L19" s="33"/>
      <c r="O19" s="15">
        <f>H2</f>
        <v>43008</v>
      </c>
      <c r="P19" s="14">
        <v>26768</v>
      </c>
    </row>
    <row r="20" spans="1:16" x14ac:dyDescent="0.25">
      <c r="A20" s="117" t="s">
        <v>73</v>
      </c>
      <c r="B20" s="50">
        <f t="shared" si="14"/>
        <v>20</v>
      </c>
      <c r="C20" s="30">
        <f t="shared" si="15"/>
        <v>40</v>
      </c>
      <c r="D20" s="30">
        <f t="shared" si="16"/>
        <v>60</v>
      </c>
      <c r="E20" s="30">
        <f t="shared" si="17"/>
        <v>80</v>
      </c>
      <c r="F20" s="30">
        <f t="shared" ref="F20:F26" si="18">B3*0.05</f>
        <v>100</v>
      </c>
      <c r="G20" s="55"/>
      <c r="H20" s="33"/>
      <c r="I20" s="33"/>
      <c r="J20" s="33"/>
      <c r="K20" s="33"/>
      <c r="L20" s="33"/>
      <c r="O20" s="15">
        <f>I3</f>
        <v>2280</v>
      </c>
      <c r="P20" s="14">
        <v>2280</v>
      </c>
    </row>
    <row r="21" spans="1:16" x14ac:dyDescent="0.25">
      <c r="A21" s="117" t="s">
        <v>75</v>
      </c>
      <c r="B21" s="50">
        <f t="shared" si="14"/>
        <v>8</v>
      </c>
      <c r="C21" s="30">
        <f t="shared" si="15"/>
        <v>16</v>
      </c>
      <c r="D21" s="30">
        <f t="shared" si="16"/>
        <v>24</v>
      </c>
      <c r="E21" s="30">
        <f t="shared" si="17"/>
        <v>32</v>
      </c>
      <c r="F21" s="30">
        <f t="shared" si="18"/>
        <v>40</v>
      </c>
      <c r="G21" s="55"/>
      <c r="H21" s="33"/>
      <c r="I21" s="33"/>
      <c r="J21" s="33"/>
      <c r="K21" s="33"/>
      <c r="L21" s="33"/>
      <c r="M21">
        <v>8000</v>
      </c>
      <c r="O21" s="15">
        <f t="shared" ref="O21:O26" si="19">I4</f>
        <v>912</v>
      </c>
      <c r="P21" s="14">
        <v>912</v>
      </c>
    </row>
    <row r="22" spans="1:16" x14ac:dyDescent="0.25">
      <c r="A22" s="117" t="s">
        <v>74</v>
      </c>
      <c r="B22" s="50">
        <f t="shared" si="14"/>
        <v>80</v>
      </c>
      <c r="C22" s="30">
        <f t="shared" si="15"/>
        <v>160</v>
      </c>
      <c r="D22" s="30">
        <f t="shared" si="16"/>
        <v>240</v>
      </c>
      <c r="E22" s="30">
        <f t="shared" si="17"/>
        <v>320</v>
      </c>
      <c r="F22" s="30">
        <f t="shared" si="18"/>
        <v>400</v>
      </c>
      <c r="G22" s="55"/>
      <c r="H22" s="33"/>
      <c r="I22" s="33"/>
      <c r="J22" s="33"/>
      <c r="K22" s="33"/>
      <c r="L22" s="33"/>
      <c r="M22">
        <v>6000</v>
      </c>
      <c r="O22" s="15">
        <f t="shared" si="19"/>
        <v>9120</v>
      </c>
      <c r="P22" s="14">
        <v>9120</v>
      </c>
    </row>
    <row r="23" spans="1:16" x14ac:dyDescent="0.25">
      <c r="A23" s="117" t="s">
        <v>100</v>
      </c>
      <c r="B23" s="50">
        <f t="shared" si="14"/>
        <v>9.65</v>
      </c>
      <c r="C23" s="30">
        <f t="shared" si="15"/>
        <v>19.3</v>
      </c>
      <c r="D23" s="30">
        <f t="shared" si="16"/>
        <v>28.950000000000003</v>
      </c>
      <c r="E23" s="30">
        <f t="shared" si="17"/>
        <v>38.6</v>
      </c>
      <c r="F23" s="30">
        <f t="shared" si="18"/>
        <v>48.25</v>
      </c>
      <c r="G23" s="55"/>
      <c r="I23" s="14">
        <v>43776</v>
      </c>
      <c r="L23" s="33"/>
      <c r="M23" s="33">
        <v>13500</v>
      </c>
      <c r="O23" s="15">
        <f t="shared" si="19"/>
        <v>1100.0999999999999</v>
      </c>
      <c r="P23" s="14">
        <v>11217</v>
      </c>
    </row>
    <row r="24" spans="1:16" x14ac:dyDescent="0.25">
      <c r="A24" s="117" t="s">
        <v>84</v>
      </c>
      <c r="B24" s="50">
        <f t="shared" si="14"/>
        <v>49.9</v>
      </c>
      <c r="C24" s="30">
        <f t="shared" si="15"/>
        <v>99.8</v>
      </c>
      <c r="D24" s="30">
        <f t="shared" si="16"/>
        <v>149.69999999999999</v>
      </c>
      <c r="E24" s="30">
        <f t="shared" si="17"/>
        <v>199.6</v>
      </c>
      <c r="F24" s="30">
        <f t="shared" si="18"/>
        <v>249.5</v>
      </c>
      <c r="G24" s="55"/>
      <c r="I24" s="14">
        <v>-2007.6</v>
      </c>
      <c r="L24" s="33"/>
      <c r="M24" s="57">
        <v>52650</v>
      </c>
      <c r="O24" s="15">
        <f t="shared" si="19"/>
        <v>5688.5999999999995</v>
      </c>
      <c r="P24" s="14">
        <v>5688.6</v>
      </c>
    </row>
    <row r="25" spans="1:16" x14ac:dyDescent="0.25">
      <c r="A25" s="129" t="s">
        <v>85</v>
      </c>
      <c r="B25" s="50">
        <f t="shared" si="14"/>
        <v>49</v>
      </c>
      <c r="C25" s="30">
        <f t="shared" si="15"/>
        <v>98</v>
      </c>
      <c r="D25" s="30">
        <f t="shared" si="16"/>
        <v>147</v>
      </c>
      <c r="E25" s="30">
        <f t="shared" si="17"/>
        <v>196</v>
      </c>
      <c r="F25" s="30">
        <f t="shared" si="18"/>
        <v>245</v>
      </c>
      <c r="G25" s="55"/>
      <c r="H25" s="17"/>
      <c r="J25" s="33"/>
      <c r="K25" s="33"/>
      <c r="L25" s="33"/>
      <c r="O25" s="15">
        <f t="shared" si="19"/>
        <v>5586</v>
      </c>
      <c r="P25" s="14">
        <v>1368</v>
      </c>
    </row>
    <row r="26" spans="1:16" x14ac:dyDescent="0.25">
      <c r="A26" s="117" t="s">
        <v>119</v>
      </c>
      <c r="B26" s="50">
        <f t="shared" si="14"/>
        <v>3.59</v>
      </c>
      <c r="C26" s="30">
        <f t="shared" si="15"/>
        <v>7.18</v>
      </c>
      <c r="D26" s="30">
        <f t="shared" si="16"/>
        <v>10.77</v>
      </c>
      <c r="E26" s="30">
        <f t="shared" si="17"/>
        <v>14.36</v>
      </c>
      <c r="F26" s="30">
        <f t="shared" si="18"/>
        <v>17.95</v>
      </c>
      <c r="G26" s="55"/>
      <c r="H26" s="17"/>
      <c r="I26">
        <v>19200.669999999998</v>
      </c>
      <c r="J26" s="33"/>
      <c r="K26" s="33"/>
      <c r="L26" s="33"/>
      <c r="O26" s="15">
        <f t="shared" si="19"/>
        <v>412.84999999999997</v>
      </c>
      <c r="P26" s="14">
        <v>412.85</v>
      </c>
    </row>
    <row r="27" spans="1:16" x14ac:dyDescent="0.25">
      <c r="A27" s="117" t="s">
        <v>118</v>
      </c>
      <c r="B27" s="56"/>
      <c r="C27" s="57"/>
      <c r="D27" s="57"/>
      <c r="E27" s="57"/>
      <c r="F27" s="57"/>
      <c r="G27" s="55"/>
      <c r="H27" s="33"/>
      <c r="I27" s="33"/>
      <c r="J27" s="33"/>
      <c r="K27" s="33"/>
      <c r="L27" s="33"/>
    </row>
    <row r="28" spans="1:16" x14ac:dyDescent="0.25">
      <c r="A28" s="116" t="s">
        <v>87</v>
      </c>
      <c r="B28" s="56"/>
      <c r="C28" s="57"/>
      <c r="D28" s="57"/>
      <c r="E28" s="57"/>
      <c r="F28" s="57"/>
      <c r="G28" s="58">
        <f>SUM(C11*0.5)</f>
        <v>1000</v>
      </c>
      <c r="H28" s="33"/>
      <c r="I28" s="33"/>
      <c r="J28" s="33">
        <v>5787.8</v>
      </c>
      <c r="K28">
        <v>3816.01</v>
      </c>
      <c r="L28" s="33"/>
      <c r="O28" s="15">
        <f>C11</f>
        <v>2000</v>
      </c>
      <c r="P28" s="14">
        <v>2000</v>
      </c>
    </row>
    <row r="29" spans="1:16" x14ac:dyDescent="0.25">
      <c r="A29" s="117" t="s">
        <v>88</v>
      </c>
      <c r="B29" s="56"/>
      <c r="C29" s="57"/>
      <c r="D29" s="57"/>
      <c r="E29" s="57"/>
      <c r="F29" s="57"/>
      <c r="G29" s="58">
        <f>SUM(C12*0.5)</f>
        <v>750</v>
      </c>
      <c r="H29" s="33"/>
      <c r="I29" s="33"/>
      <c r="J29" s="33">
        <f>J28-K28</f>
        <v>1971.79</v>
      </c>
      <c r="K29" s="33"/>
      <c r="L29" s="33"/>
      <c r="O29" s="15">
        <f>C12</f>
        <v>1500</v>
      </c>
      <c r="P29" s="14">
        <v>1500</v>
      </c>
    </row>
    <row r="30" spans="1:16" x14ac:dyDescent="0.25">
      <c r="A30" s="117" t="s">
        <v>89</v>
      </c>
      <c r="B30" s="56"/>
      <c r="C30" s="57"/>
      <c r="D30" s="57"/>
      <c r="E30" s="57"/>
      <c r="F30" s="57"/>
      <c r="G30" s="58">
        <f>SUM(C13*0.5)</f>
        <v>1500</v>
      </c>
      <c r="H30" s="33"/>
      <c r="I30" s="33"/>
      <c r="J30" s="33"/>
      <c r="K30" s="33"/>
      <c r="L30" s="33"/>
      <c r="O30" s="15">
        <f>C13</f>
        <v>3000</v>
      </c>
      <c r="P30" s="14">
        <v>3000</v>
      </c>
    </row>
    <row r="31" spans="1:16" ht="15.75" thickBot="1" x14ac:dyDescent="0.3">
      <c r="A31" s="119" t="s">
        <v>114</v>
      </c>
      <c r="B31" s="59"/>
      <c r="C31" s="60"/>
      <c r="D31" s="60"/>
      <c r="E31" s="60"/>
      <c r="F31" s="60"/>
      <c r="G31" s="61">
        <f>SUM(C14*0.5)</f>
        <v>5850</v>
      </c>
      <c r="H31" s="33"/>
      <c r="I31" s="33"/>
      <c r="J31" s="33"/>
      <c r="K31" s="33"/>
      <c r="L31" s="57"/>
      <c r="O31" s="15">
        <f>C14</f>
        <v>11700</v>
      </c>
      <c r="P31" s="14">
        <v>11700</v>
      </c>
    </row>
    <row r="32" spans="1:16" x14ac:dyDescent="0.25">
      <c r="H32" s="52"/>
    </row>
    <row r="40" spans="13:15" ht="15.75" thickBot="1" x14ac:dyDescent="0.3"/>
    <row r="41" spans="13:15" ht="15.75" thickBot="1" x14ac:dyDescent="0.3">
      <c r="M41" s="83"/>
      <c r="N41" s="87" t="s">
        <v>90</v>
      </c>
      <c r="O41" s="88" t="s">
        <v>86</v>
      </c>
    </row>
    <row r="42" spans="13:15" x14ac:dyDescent="0.25">
      <c r="M42" s="84" t="s">
        <v>78</v>
      </c>
      <c r="N42" s="58">
        <v>0</v>
      </c>
      <c r="O42" s="58">
        <v>65589</v>
      </c>
    </row>
    <row r="43" spans="13:15" x14ac:dyDescent="0.25">
      <c r="M43" s="85" t="s">
        <v>76</v>
      </c>
      <c r="N43" s="62">
        <v>18200</v>
      </c>
      <c r="O43" s="58">
        <v>65882.3</v>
      </c>
    </row>
    <row r="44" spans="13:15" x14ac:dyDescent="0.25">
      <c r="M44" s="85" t="s">
        <v>77</v>
      </c>
      <c r="N44" s="62">
        <v>9750</v>
      </c>
      <c r="O44" s="58">
        <v>66534.600000000006</v>
      </c>
    </row>
    <row r="45" spans="13:15" x14ac:dyDescent="0.25">
      <c r="M45" s="85" t="s">
        <v>79</v>
      </c>
      <c r="N45" s="62">
        <v>36400</v>
      </c>
      <c r="O45" s="58">
        <v>69796.100000000006</v>
      </c>
    </row>
    <row r="46" spans="13:15" x14ac:dyDescent="0.25">
      <c r="M46" s="85" t="s">
        <v>80</v>
      </c>
      <c r="N46" s="62">
        <v>45500</v>
      </c>
      <c r="O46" s="58">
        <v>71100.7</v>
      </c>
    </row>
    <row r="47" spans="13:15" x14ac:dyDescent="0.25">
      <c r="M47" s="85" t="s">
        <v>81</v>
      </c>
      <c r="N47" s="62">
        <v>54600</v>
      </c>
      <c r="O47" s="58">
        <v>72405.299999999988</v>
      </c>
    </row>
    <row r="48" spans="13:15" x14ac:dyDescent="0.25">
      <c r="M48" s="85" t="s">
        <v>92</v>
      </c>
      <c r="N48" s="62">
        <v>71050</v>
      </c>
      <c r="O48" s="58">
        <v>73057.600000000006</v>
      </c>
    </row>
    <row r="49" spans="13:15" x14ac:dyDescent="0.25">
      <c r="M49" s="85" t="s">
        <v>93</v>
      </c>
      <c r="N49" s="62">
        <v>80150</v>
      </c>
      <c r="O49" s="58">
        <v>74362.2</v>
      </c>
    </row>
    <row r="50" spans="13:15" x14ac:dyDescent="0.25">
      <c r="M50" s="85" t="s">
        <v>94</v>
      </c>
      <c r="N50" s="62">
        <v>89250</v>
      </c>
      <c r="O50" s="58">
        <v>71100.7</v>
      </c>
    </row>
    <row r="51" spans="13:15" x14ac:dyDescent="0.25">
      <c r="M51" s="85" t="s">
        <v>95</v>
      </c>
      <c r="N51" s="62">
        <v>98350</v>
      </c>
      <c r="O51" s="58">
        <v>70448.399999999994</v>
      </c>
    </row>
    <row r="52" spans="13:15" ht="15.75" thickBot="1" x14ac:dyDescent="0.3">
      <c r="M52" s="86" t="s">
        <v>96</v>
      </c>
      <c r="N52" s="82">
        <v>107450</v>
      </c>
      <c r="O52" s="61">
        <v>67186.899999999994</v>
      </c>
    </row>
    <row r="69" spans="2:4" ht="15.75" thickBot="1" x14ac:dyDescent="0.3"/>
    <row r="70" spans="2:4" ht="15.75" thickBot="1" x14ac:dyDescent="0.3">
      <c r="B70" s="95" t="s">
        <v>78</v>
      </c>
      <c r="C70" s="135">
        <v>60414</v>
      </c>
      <c r="D70" s="135">
        <v>0</v>
      </c>
    </row>
    <row r="71" spans="2:4" x14ac:dyDescent="0.25">
      <c r="B71" s="85" t="s">
        <v>76</v>
      </c>
      <c r="C71" s="30">
        <v>60655.55</v>
      </c>
      <c r="D71" s="62">
        <v>18200</v>
      </c>
    </row>
    <row r="72" spans="2:4" x14ac:dyDescent="0.25">
      <c r="B72" s="85" t="s">
        <v>77</v>
      </c>
      <c r="C72" s="30">
        <v>61256.100000000006</v>
      </c>
      <c r="D72" s="62">
        <v>9750</v>
      </c>
    </row>
    <row r="73" spans="2:4" x14ac:dyDescent="0.25">
      <c r="B73" s="85" t="s">
        <v>79</v>
      </c>
      <c r="C73" s="30">
        <v>64258.850000000006</v>
      </c>
      <c r="D73" s="62">
        <v>36400</v>
      </c>
    </row>
    <row r="74" spans="2:4" x14ac:dyDescent="0.25">
      <c r="B74" s="85" t="s">
        <v>80</v>
      </c>
      <c r="C74" s="30">
        <v>65459.95</v>
      </c>
      <c r="D74" s="62">
        <v>45500</v>
      </c>
    </row>
    <row r="75" spans="2:4" x14ac:dyDescent="0.25">
      <c r="B75" s="85" t="s">
        <v>81</v>
      </c>
      <c r="C75" s="30">
        <v>66661.05</v>
      </c>
      <c r="D75" s="62">
        <v>54600</v>
      </c>
    </row>
    <row r="76" spans="2:4" x14ac:dyDescent="0.25">
      <c r="B76" s="85" t="s">
        <v>92</v>
      </c>
      <c r="C76" s="30">
        <v>67261.600000000006</v>
      </c>
      <c r="D76" s="62">
        <v>71050</v>
      </c>
    </row>
    <row r="77" spans="2:4" x14ac:dyDescent="0.25">
      <c r="B77" s="85" t="s">
        <v>93</v>
      </c>
      <c r="C77" s="30">
        <v>68462.7</v>
      </c>
      <c r="D77" s="62">
        <v>80150</v>
      </c>
    </row>
    <row r="78" spans="2:4" x14ac:dyDescent="0.25">
      <c r="B78" s="85" t="s">
        <v>94</v>
      </c>
      <c r="C78" s="30">
        <v>65459.95</v>
      </c>
      <c r="D78" s="62">
        <v>89250</v>
      </c>
    </row>
    <row r="79" spans="2:4" x14ac:dyDescent="0.25">
      <c r="B79" s="85" t="s">
        <v>95</v>
      </c>
      <c r="C79" s="30">
        <v>64859.399999999994</v>
      </c>
      <c r="D79" s="62">
        <v>98350</v>
      </c>
    </row>
    <row r="80" spans="2:4" ht="15.75" thickBot="1" x14ac:dyDescent="0.3">
      <c r="B80" s="86" t="s">
        <v>96</v>
      </c>
      <c r="C80" s="123">
        <v>61856.649999999994</v>
      </c>
      <c r="D80" s="82">
        <v>107450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V41"/>
  <sheetViews>
    <sheetView zoomScale="85" zoomScaleNormal="85" workbookViewId="0">
      <selection activeCell="B7" sqref="B7"/>
    </sheetView>
  </sheetViews>
  <sheetFormatPr defaultRowHeight="15" x14ac:dyDescent="0.25"/>
  <cols>
    <col min="1" max="1" width="27.85546875" bestFit="1" customWidth="1"/>
    <col min="2" max="2" width="15" bestFit="1" customWidth="1"/>
    <col min="3" max="14" width="11.85546875" bestFit="1" customWidth="1"/>
    <col min="16" max="16" width="26.85546875" bestFit="1" customWidth="1"/>
    <col min="17" max="17" width="11.85546875" bestFit="1" customWidth="1"/>
    <col min="18" max="18" width="10.85546875" bestFit="1" customWidth="1"/>
    <col min="19" max="19" width="10.5703125" bestFit="1" customWidth="1"/>
    <col min="22" max="22" width="11.5703125" bestFit="1" customWidth="1"/>
  </cols>
  <sheetData>
    <row r="1" spans="1:18" ht="15.75" thickBot="1" x14ac:dyDescent="0.3">
      <c r="A1" s="99" t="s">
        <v>142</v>
      </c>
      <c r="B1" s="102" t="s">
        <v>122</v>
      </c>
      <c r="C1" s="103" t="s">
        <v>123</v>
      </c>
      <c r="D1" s="103" t="s">
        <v>124</v>
      </c>
      <c r="E1" s="103" t="s">
        <v>125</v>
      </c>
      <c r="F1" s="103" t="s">
        <v>126</v>
      </c>
      <c r="G1" s="103" t="s">
        <v>127</v>
      </c>
      <c r="H1" s="103" t="s">
        <v>128</v>
      </c>
      <c r="I1" s="103" t="s">
        <v>129</v>
      </c>
      <c r="J1" s="103" t="s">
        <v>132</v>
      </c>
      <c r="K1" s="103" t="s">
        <v>133</v>
      </c>
      <c r="L1" s="103" t="s">
        <v>134</v>
      </c>
      <c r="M1" s="103" t="s">
        <v>135</v>
      </c>
      <c r="N1" s="104" t="s">
        <v>136</v>
      </c>
      <c r="P1" s="115"/>
      <c r="Q1" s="120" t="s">
        <v>139</v>
      </c>
      <c r="R1" s="98" t="s">
        <v>140</v>
      </c>
    </row>
    <row r="2" spans="1:18" ht="15.75" thickBot="1" x14ac:dyDescent="0.3">
      <c r="A2" s="106" t="s">
        <v>121</v>
      </c>
      <c r="B2" s="72">
        <v>100000</v>
      </c>
      <c r="C2" s="73">
        <f>B20</f>
        <v>94434.240000000005</v>
      </c>
      <c r="D2" s="73">
        <f t="shared" ref="D2:N2" si="0">C20</f>
        <v>89535.150000000009</v>
      </c>
      <c r="E2" s="73">
        <f t="shared" si="0"/>
        <v>84636.060000000012</v>
      </c>
      <c r="F2" s="73">
        <f t="shared" si="0"/>
        <v>79736.970000000016</v>
      </c>
      <c r="G2" s="73">
        <f t="shared" si="0"/>
        <v>74837.880000000019</v>
      </c>
      <c r="H2" s="73">
        <f t="shared" si="0"/>
        <v>69938.790000000023</v>
      </c>
      <c r="I2" s="73">
        <f t="shared" si="0"/>
        <v>65039.700000000026</v>
      </c>
      <c r="J2" s="73">
        <f t="shared" si="0"/>
        <v>60140.61000000003</v>
      </c>
      <c r="K2" s="73">
        <f t="shared" si="0"/>
        <v>55241.520000000033</v>
      </c>
      <c r="L2" s="73">
        <f t="shared" si="0"/>
        <v>50342.430000000037</v>
      </c>
      <c r="M2" s="73">
        <f t="shared" si="0"/>
        <v>45443.34000000004</v>
      </c>
      <c r="N2" s="74">
        <f t="shared" si="0"/>
        <v>40544.250000000044</v>
      </c>
      <c r="P2" s="116" t="s">
        <v>82</v>
      </c>
      <c r="Q2" s="49">
        <v>38400</v>
      </c>
      <c r="R2" s="48">
        <f>SUM(Q2/12)</f>
        <v>3200</v>
      </c>
    </row>
    <row r="3" spans="1:18" x14ac:dyDescent="0.25">
      <c r="A3" s="105" t="s">
        <v>103</v>
      </c>
      <c r="B3" s="49">
        <v>0</v>
      </c>
      <c r="C3" s="17">
        <v>0</v>
      </c>
      <c r="D3" s="17">
        <v>0</v>
      </c>
      <c r="E3" s="17">
        <v>0</v>
      </c>
      <c r="F3" s="17">
        <v>0</v>
      </c>
      <c r="G3" s="17">
        <v>0</v>
      </c>
      <c r="H3" s="17">
        <v>0</v>
      </c>
      <c r="I3" s="17">
        <v>0</v>
      </c>
      <c r="J3" s="17">
        <v>0</v>
      </c>
      <c r="K3" s="17">
        <v>0</v>
      </c>
      <c r="L3" s="17">
        <v>0</v>
      </c>
      <c r="M3" s="17">
        <v>0</v>
      </c>
      <c r="N3" s="16">
        <v>0</v>
      </c>
      <c r="P3" s="117" t="s">
        <v>73</v>
      </c>
      <c r="Q3" s="49">
        <v>2000</v>
      </c>
      <c r="R3" s="48">
        <f t="shared" ref="R3:R11" si="1">SUM(Q3/12)</f>
        <v>166.66666666666666</v>
      </c>
    </row>
    <row r="4" spans="1:18" x14ac:dyDescent="0.25">
      <c r="A4" s="105" t="s">
        <v>101</v>
      </c>
      <c r="B4" s="49">
        <v>0</v>
      </c>
      <c r="C4" s="17">
        <v>0</v>
      </c>
      <c r="D4" s="17">
        <v>0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7">
        <v>0</v>
      </c>
      <c r="N4" s="16">
        <v>0</v>
      </c>
      <c r="P4" s="118" t="s">
        <v>75</v>
      </c>
      <c r="Q4" s="49">
        <v>800</v>
      </c>
      <c r="R4" s="48">
        <f t="shared" si="1"/>
        <v>66.666666666666671</v>
      </c>
    </row>
    <row r="5" spans="1:18" x14ac:dyDescent="0.25">
      <c r="A5" s="105" t="s">
        <v>102</v>
      </c>
      <c r="B5" s="49">
        <v>0</v>
      </c>
      <c r="C5" s="17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6">
        <v>0</v>
      </c>
      <c r="P5" s="117" t="s">
        <v>74</v>
      </c>
      <c r="Q5" s="50">
        <v>8000</v>
      </c>
      <c r="R5" s="48">
        <f t="shared" si="1"/>
        <v>666.66666666666663</v>
      </c>
    </row>
    <row r="6" spans="1:18" x14ac:dyDescent="0.25">
      <c r="A6" s="105" t="s">
        <v>114</v>
      </c>
      <c r="B6" s="49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6">
        <v>0</v>
      </c>
      <c r="P6" s="117" t="s">
        <v>100</v>
      </c>
      <c r="Q6" s="50">
        <v>9840</v>
      </c>
      <c r="R6" s="48">
        <f t="shared" si="1"/>
        <v>820</v>
      </c>
    </row>
    <row r="7" spans="1:18" ht="15.75" thickBot="1" x14ac:dyDescent="0.3">
      <c r="A7" s="101" t="s">
        <v>42</v>
      </c>
      <c r="B7" s="49">
        <f>SUM(B2:B6)</f>
        <v>100000</v>
      </c>
      <c r="C7" s="17">
        <f t="shared" ref="C7:N7" si="2">SUM(C2:C6)</f>
        <v>94434.240000000005</v>
      </c>
      <c r="D7" s="17">
        <f t="shared" si="2"/>
        <v>89535.150000000009</v>
      </c>
      <c r="E7" s="17">
        <f t="shared" si="2"/>
        <v>84636.060000000012</v>
      </c>
      <c r="F7" s="17">
        <f t="shared" si="2"/>
        <v>79736.970000000016</v>
      </c>
      <c r="G7" s="17">
        <f t="shared" si="2"/>
        <v>74837.880000000019</v>
      </c>
      <c r="H7" s="17">
        <f t="shared" si="2"/>
        <v>69938.790000000023</v>
      </c>
      <c r="I7" s="17">
        <f t="shared" si="2"/>
        <v>65039.700000000026</v>
      </c>
      <c r="J7" s="17">
        <f t="shared" si="2"/>
        <v>60140.61000000003</v>
      </c>
      <c r="K7" s="17">
        <f t="shared" si="2"/>
        <v>55241.520000000033</v>
      </c>
      <c r="L7" s="17">
        <f t="shared" si="2"/>
        <v>50342.430000000037</v>
      </c>
      <c r="M7" s="17">
        <f t="shared" si="2"/>
        <v>45443.34000000004</v>
      </c>
      <c r="N7" s="16">
        <f t="shared" si="2"/>
        <v>40544.250000000044</v>
      </c>
      <c r="P7" s="117" t="s">
        <v>84</v>
      </c>
      <c r="Q7" s="50">
        <v>4990</v>
      </c>
      <c r="R7" s="48">
        <f t="shared" si="1"/>
        <v>415.83333333333331</v>
      </c>
    </row>
    <row r="8" spans="1:18" ht="15.75" thickBot="1" x14ac:dyDescent="0.3">
      <c r="A8" s="107" t="s">
        <v>120</v>
      </c>
      <c r="B8" s="76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  <c r="P8" s="117" t="s">
        <v>85</v>
      </c>
      <c r="Q8" s="50">
        <v>1200</v>
      </c>
      <c r="R8" s="48">
        <f>SUM(Q8/12)</f>
        <v>100</v>
      </c>
    </row>
    <row r="9" spans="1:18" x14ac:dyDescent="0.25">
      <c r="A9" s="108" t="s">
        <v>130</v>
      </c>
      <c r="B9" s="76">
        <v>3200</v>
      </c>
      <c r="C9" s="77">
        <v>3200</v>
      </c>
      <c r="D9" s="77">
        <v>3200</v>
      </c>
      <c r="E9" s="77">
        <v>3200</v>
      </c>
      <c r="F9" s="77">
        <v>3200</v>
      </c>
      <c r="G9" s="77">
        <v>3200</v>
      </c>
      <c r="H9" s="77">
        <v>3200</v>
      </c>
      <c r="I9" s="77">
        <v>3200</v>
      </c>
      <c r="J9" s="77">
        <v>3200</v>
      </c>
      <c r="K9" s="77">
        <v>3200</v>
      </c>
      <c r="L9" s="77">
        <v>3200</v>
      </c>
      <c r="M9" s="77">
        <v>3200</v>
      </c>
      <c r="N9" s="78">
        <v>3200</v>
      </c>
      <c r="P9" s="117" t="s">
        <v>117</v>
      </c>
      <c r="Q9" s="50">
        <v>359</v>
      </c>
      <c r="R9" s="48">
        <f t="shared" si="1"/>
        <v>29.916666666666668</v>
      </c>
    </row>
    <row r="10" spans="1:18" x14ac:dyDescent="0.25">
      <c r="A10" s="109" t="s">
        <v>131</v>
      </c>
      <c r="B10" s="49">
        <v>100</v>
      </c>
      <c r="C10" s="17">
        <v>100</v>
      </c>
      <c r="D10" s="17">
        <v>100</v>
      </c>
      <c r="E10" s="17">
        <v>100</v>
      </c>
      <c r="F10" s="17">
        <v>100</v>
      </c>
      <c r="G10" s="17">
        <v>100</v>
      </c>
      <c r="H10" s="17">
        <v>100</v>
      </c>
      <c r="I10" s="17">
        <v>100</v>
      </c>
      <c r="J10" s="17">
        <v>100</v>
      </c>
      <c r="K10" s="17">
        <v>100</v>
      </c>
      <c r="L10" s="17">
        <v>100</v>
      </c>
      <c r="M10" s="17">
        <v>100</v>
      </c>
      <c r="N10" s="16">
        <v>100</v>
      </c>
      <c r="P10" s="118" t="s">
        <v>75</v>
      </c>
      <c r="Q10" s="49">
        <v>800</v>
      </c>
      <c r="R10" s="48">
        <f t="shared" si="1"/>
        <v>66.666666666666671</v>
      </c>
    </row>
    <row r="11" spans="1:18" ht="15.75" thickBot="1" x14ac:dyDescent="0.3">
      <c r="A11" s="109" t="s">
        <v>100</v>
      </c>
      <c r="B11" s="49">
        <v>820</v>
      </c>
      <c r="C11" s="17">
        <v>820</v>
      </c>
      <c r="D11" s="17">
        <v>820</v>
      </c>
      <c r="E11" s="17">
        <v>820</v>
      </c>
      <c r="F11" s="17">
        <v>820</v>
      </c>
      <c r="G11" s="17">
        <v>820</v>
      </c>
      <c r="H11" s="17">
        <v>820</v>
      </c>
      <c r="I11" s="17">
        <v>820</v>
      </c>
      <c r="J11" s="17">
        <v>820</v>
      </c>
      <c r="K11" s="17">
        <v>820</v>
      </c>
      <c r="L11" s="17">
        <v>820</v>
      </c>
      <c r="M11" s="17">
        <v>820</v>
      </c>
      <c r="N11" s="16">
        <v>820</v>
      </c>
      <c r="P11" s="119" t="s">
        <v>74</v>
      </c>
      <c r="Q11" s="121">
        <v>8000</v>
      </c>
      <c r="R11" s="69">
        <f t="shared" si="1"/>
        <v>666.66666666666663</v>
      </c>
    </row>
    <row r="12" spans="1:18" x14ac:dyDescent="0.25">
      <c r="A12" s="109" t="s">
        <v>137</v>
      </c>
      <c r="B12" s="49">
        <v>166.67</v>
      </c>
      <c r="C12" s="17">
        <v>166.67</v>
      </c>
      <c r="D12" s="17">
        <v>166.67</v>
      </c>
      <c r="E12" s="17">
        <v>166.67</v>
      </c>
      <c r="F12" s="17">
        <v>166.67</v>
      </c>
      <c r="G12" s="17">
        <v>166.67</v>
      </c>
      <c r="H12" s="17">
        <v>166.67</v>
      </c>
      <c r="I12" s="17">
        <v>166.67</v>
      </c>
      <c r="J12" s="17">
        <v>166.67</v>
      </c>
      <c r="K12" s="17">
        <v>166.67</v>
      </c>
      <c r="L12" s="17">
        <v>166.67</v>
      </c>
      <c r="M12" s="17">
        <v>166.67</v>
      </c>
      <c r="N12" s="16">
        <v>166.67</v>
      </c>
    </row>
    <row r="13" spans="1:18" x14ac:dyDescent="0.25">
      <c r="A13" s="109" t="s">
        <v>138</v>
      </c>
      <c r="B13" s="49">
        <v>415.83</v>
      </c>
      <c r="C13" s="17">
        <v>415.83</v>
      </c>
      <c r="D13" s="17">
        <v>415.83</v>
      </c>
      <c r="E13" s="17">
        <v>415.83</v>
      </c>
      <c r="F13" s="17">
        <v>415.83</v>
      </c>
      <c r="G13" s="17">
        <v>415.83</v>
      </c>
      <c r="H13" s="17">
        <v>415.83</v>
      </c>
      <c r="I13" s="17">
        <v>415.83</v>
      </c>
      <c r="J13" s="17">
        <v>415.83</v>
      </c>
      <c r="K13" s="17">
        <v>415.83</v>
      </c>
      <c r="L13" s="17">
        <v>415.83</v>
      </c>
      <c r="M13" s="17">
        <v>415.83</v>
      </c>
      <c r="N13" s="16">
        <v>415.83</v>
      </c>
    </row>
    <row r="14" spans="1:18" x14ac:dyDescent="0.25">
      <c r="A14" s="110" t="s">
        <v>85</v>
      </c>
      <c r="B14" s="49">
        <v>100</v>
      </c>
      <c r="C14" s="17">
        <v>100</v>
      </c>
      <c r="D14" s="17">
        <v>100</v>
      </c>
      <c r="E14" s="17">
        <v>100</v>
      </c>
      <c r="F14" s="17">
        <v>100</v>
      </c>
      <c r="G14" s="17">
        <v>100</v>
      </c>
      <c r="H14" s="17">
        <v>100</v>
      </c>
      <c r="I14" s="17">
        <v>100</v>
      </c>
      <c r="J14" s="17">
        <v>100</v>
      </c>
      <c r="K14" s="17">
        <v>100</v>
      </c>
      <c r="L14" s="17">
        <v>100</v>
      </c>
      <c r="M14" s="17">
        <v>100</v>
      </c>
      <c r="N14" s="16">
        <v>100</v>
      </c>
    </row>
    <row r="15" spans="1:18" x14ac:dyDescent="0.25">
      <c r="A15" s="110" t="s">
        <v>117</v>
      </c>
      <c r="B15" s="49">
        <v>29.92</v>
      </c>
      <c r="C15" s="17">
        <v>29.92</v>
      </c>
      <c r="D15" s="17">
        <v>29.92</v>
      </c>
      <c r="E15" s="17">
        <v>29.92</v>
      </c>
      <c r="F15" s="17">
        <v>29.92</v>
      </c>
      <c r="G15" s="17">
        <v>29.92</v>
      </c>
      <c r="H15" s="17">
        <v>29.92</v>
      </c>
      <c r="I15" s="17">
        <v>29.92</v>
      </c>
      <c r="J15" s="17">
        <v>29.92</v>
      </c>
      <c r="K15" s="17">
        <v>29.92</v>
      </c>
      <c r="L15" s="17">
        <v>29.92</v>
      </c>
      <c r="M15" s="17">
        <v>29.92</v>
      </c>
      <c r="N15" s="16">
        <v>29.92</v>
      </c>
    </row>
    <row r="16" spans="1:18" x14ac:dyDescent="0.25">
      <c r="A16" s="109" t="s">
        <v>74</v>
      </c>
      <c r="B16" s="49">
        <v>66.67</v>
      </c>
      <c r="C16" s="17">
        <v>66.67</v>
      </c>
      <c r="D16" s="17">
        <v>66.67</v>
      </c>
      <c r="E16" s="17">
        <v>66.67</v>
      </c>
      <c r="F16" s="17">
        <v>66.67</v>
      </c>
      <c r="G16" s="17">
        <v>66.67</v>
      </c>
      <c r="H16" s="17">
        <v>66.67</v>
      </c>
      <c r="I16" s="17">
        <v>66.67</v>
      </c>
      <c r="J16" s="17">
        <v>66.67</v>
      </c>
      <c r="K16" s="17">
        <v>66.67</v>
      </c>
      <c r="L16" s="17">
        <v>66.67</v>
      </c>
      <c r="M16" s="17">
        <v>66.67</v>
      </c>
      <c r="N16" s="16">
        <v>66.67</v>
      </c>
      <c r="Q16" s="15">
        <f>N20-B2</f>
        <v>-64354.839999999953</v>
      </c>
      <c r="R16">
        <v>64354.84</v>
      </c>
    </row>
    <row r="17" spans="1:22" x14ac:dyDescent="0.25">
      <c r="A17" s="109" t="s">
        <v>75</v>
      </c>
      <c r="B17" s="50">
        <v>666.67</v>
      </c>
      <c r="C17" s="30">
        <v>666.67</v>
      </c>
      <c r="D17" s="30">
        <v>666.67</v>
      </c>
      <c r="E17" s="30">
        <v>666.67</v>
      </c>
      <c r="F17" s="30">
        <v>666.67</v>
      </c>
      <c r="G17" s="30">
        <v>666.67</v>
      </c>
      <c r="H17" s="30">
        <v>666.67</v>
      </c>
      <c r="I17" s="30">
        <v>666.67</v>
      </c>
      <c r="J17" s="30">
        <v>666.67</v>
      </c>
      <c r="K17" s="30">
        <v>666.67</v>
      </c>
      <c r="L17" s="30">
        <v>666.67</v>
      </c>
      <c r="M17" s="30">
        <v>666.67</v>
      </c>
      <c r="N17" s="58">
        <v>666.67</v>
      </c>
    </row>
    <row r="18" spans="1:22" x14ac:dyDescent="0.25">
      <c r="A18" s="109"/>
      <c r="B18" s="80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4"/>
    </row>
    <row r="19" spans="1:22" ht="15.75" thickBot="1" x14ac:dyDescent="0.3">
      <c r="A19" s="111" t="s">
        <v>42</v>
      </c>
      <c r="B19" s="75">
        <f>SUM(B9:B17)</f>
        <v>5565.76</v>
      </c>
      <c r="C19" s="41">
        <f t="shared" ref="C19:N19" si="3">SUM(C9:C16)</f>
        <v>4899.09</v>
      </c>
      <c r="D19" s="41">
        <f t="shared" si="3"/>
        <v>4899.09</v>
      </c>
      <c r="E19" s="41">
        <f t="shared" si="3"/>
        <v>4899.09</v>
      </c>
      <c r="F19" s="41">
        <f t="shared" si="3"/>
        <v>4899.09</v>
      </c>
      <c r="G19" s="41">
        <f t="shared" si="3"/>
        <v>4899.09</v>
      </c>
      <c r="H19" s="41">
        <f t="shared" si="3"/>
        <v>4899.09</v>
      </c>
      <c r="I19" s="41">
        <f t="shared" si="3"/>
        <v>4899.09</v>
      </c>
      <c r="J19" s="41">
        <f t="shared" si="3"/>
        <v>4899.09</v>
      </c>
      <c r="K19" s="41">
        <f t="shared" si="3"/>
        <v>4899.09</v>
      </c>
      <c r="L19" s="41">
        <f t="shared" si="3"/>
        <v>4899.09</v>
      </c>
      <c r="M19" s="41">
        <f t="shared" si="3"/>
        <v>4899.09</v>
      </c>
      <c r="N19" s="42">
        <f t="shared" si="3"/>
        <v>4899.09</v>
      </c>
    </row>
    <row r="20" spans="1:22" ht="15.75" thickBot="1" x14ac:dyDescent="0.3">
      <c r="A20" s="113" t="s">
        <v>141</v>
      </c>
      <c r="B20" s="79">
        <f t="shared" ref="B20:N20" si="4">SUM(B7-B19)</f>
        <v>94434.240000000005</v>
      </c>
      <c r="C20" s="68">
        <f>SUM(C7-C19)</f>
        <v>89535.150000000009</v>
      </c>
      <c r="D20" s="68">
        <f t="shared" si="4"/>
        <v>84636.060000000012</v>
      </c>
      <c r="E20" s="68">
        <f t="shared" si="4"/>
        <v>79736.970000000016</v>
      </c>
      <c r="F20" s="68">
        <f t="shared" si="4"/>
        <v>74837.880000000019</v>
      </c>
      <c r="G20" s="68">
        <f t="shared" si="4"/>
        <v>69938.790000000023</v>
      </c>
      <c r="H20" s="68">
        <f t="shared" si="4"/>
        <v>65039.700000000026</v>
      </c>
      <c r="I20" s="68">
        <f t="shared" si="4"/>
        <v>60140.61000000003</v>
      </c>
      <c r="J20" s="68">
        <f t="shared" si="4"/>
        <v>55241.520000000033</v>
      </c>
      <c r="K20" s="68">
        <f t="shared" si="4"/>
        <v>50342.430000000037</v>
      </c>
      <c r="L20" s="68">
        <f t="shared" si="4"/>
        <v>45443.34000000004</v>
      </c>
      <c r="M20" s="68">
        <f t="shared" si="4"/>
        <v>40544.250000000044</v>
      </c>
      <c r="N20" s="69">
        <f t="shared" si="4"/>
        <v>35645.160000000047</v>
      </c>
      <c r="P20" s="124"/>
      <c r="Q20" s="125" t="s">
        <v>139</v>
      </c>
      <c r="R20" s="98" t="s">
        <v>140</v>
      </c>
    </row>
    <row r="21" spans="1:22" x14ac:dyDescent="0.25">
      <c r="P21" s="127" t="s">
        <v>82</v>
      </c>
      <c r="Q21" s="122">
        <v>43776</v>
      </c>
      <c r="R21" s="67">
        <f>SUM(Q21/12)</f>
        <v>3648</v>
      </c>
      <c r="S21" s="14">
        <v>3648</v>
      </c>
    </row>
    <row r="22" spans="1:22" ht="15.75" thickBot="1" x14ac:dyDescent="0.3">
      <c r="P22" s="117" t="s">
        <v>73</v>
      </c>
      <c r="Q22" s="17">
        <v>2280</v>
      </c>
      <c r="R22" s="48">
        <f t="shared" ref="R22:R28" si="5">SUM(Q22/12)</f>
        <v>190</v>
      </c>
      <c r="S22" s="14">
        <v>190</v>
      </c>
    </row>
    <row r="23" spans="1:22" ht="15.75" thickBot="1" x14ac:dyDescent="0.3">
      <c r="A23" s="99" t="s">
        <v>149</v>
      </c>
      <c r="B23" s="102" t="s">
        <v>122</v>
      </c>
      <c r="C23" s="103" t="s">
        <v>123</v>
      </c>
      <c r="D23" s="103" t="s">
        <v>124</v>
      </c>
      <c r="E23" s="103" t="s">
        <v>125</v>
      </c>
      <c r="F23" s="103" t="s">
        <v>126</v>
      </c>
      <c r="G23" s="103" t="s">
        <v>127</v>
      </c>
      <c r="H23" s="103" t="s">
        <v>128</v>
      </c>
      <c r="I23" s="103" t="s">
        <v>129</v>
      </c>
      <c r="J23" s="103" t="s">
        <v>132</v>
      </c>
      <c r="K23" s="103" t="s">
        <v>133</v>
      </c>
      <c r="L23" s="103" t="s">
        <v>134</v>
      </c>
      <c r="M23" s="103" t="s">
        <v>135</v>
      </c>
      <c r="N23" s="104" t="s">
        <v>136</v>
      </c>
      <c r="P23" s="118" t="s">
        <v>75</v>
      </c>
      <c r="Q23" s="17">
        <v>912</v>
      </c>
      <c r="R23" s="48">
        <f t="shared" si="5"/>
        <v>76</v>
      </c>
      <c r="S23" s="14">
        <v>76</v>
      </c>
    </row>
    <row r="24" spans="1:22" x14ac:dyDescent="0.25">
      <c r="A24" s="106" t="s">
        <v>121</v>
      </c>
      <c r="B24" s="76">
        <v>-2007.6</v>
      </c>
      <c r="C24" s="77">
        <f t="shared" ref="C24:N24" si="6">B41</f>
        <v>-1559.63</v>
      </c>
      <c r="D24" s="77">
        <f t="shared" si="6"/>
        <v>-1111.6599999999999</v>
      </c>
      <c r="E24" s="77">
        <f t="shared" si="6"/>
        <v>-663.6899999999996</v>
      </c>
      <c r="F24" s="77">
        <f t="shared" si="6"/>
        <v>-215.71999999999935</v>
      </c>
      <c r="G24" s="77">
        <f t="shared" si="6"/>
        <v>232.25000000000091</v>
      </c>
      <c r="H24" s="77">
        <f t="shared" si="6"/>
        <v>680.22000000000116</v>
      </c>
      <c r="I24" s="77">
        <f t="shared" si="6"/>
        <v>1128.1900000000014</v>
      </c>
      <c r="J24" s="77">
        <f t="shared" si="6"/>
        <v>1576.1600000000017</v>
      </c>
      <c r="K24" s="77">
        <f t="shared" si="6"/>
        <v>2024.1300000000019</v>
      </c>
      <c r="L24" s="77">
        <f t="shared" si="6"/>
        <v>2472.1000000000031</v>
      </c>
      <c r="M24" s="77">
        <f t="shared" si="6"/>
        <v>2920.0700000000043</v>
      </c>
      <c r="N24" s="78">
        <f t="shared" si="6"/>
        <v>3368.0400000000054</v>
      </c>
      <c r="P24" s="117" t="s">
        <v>74</v>
      </c>
      <c r="Q24" s="17">
        <v>9120</v>
      </c>
      <c r="R24" s="48">
        <f t="shared" si="5"/>
        <v>760</v>
      </c>
      <c r="S24" s="14">
        <v>760</v>
      </c>
    </row>
    <row r="25" spans="1:22" x14ac:dyDescent="0.25">
      <c r="A25" s="100" t="s">
        <v>103</v>
      </c>
      <c r="B25" s="49">
        <v>666.67</v>
      </c>
      <c r="C25" s="17">
        <v>666.67</v>
      </c>
      <c r="D25" s="17">
        <v>666.67</v>
      </c>
      <c r="E25" s="17">
        <v>666.67</v>
      </c>
      <c r="F25" s="17">
        <v>666.67</v>
      </c>
      <c r="G25" s="17">
        <v>666.67</v>
      </c>
      <c r="H25" s="17">
        <v>666.67</v>
      </c>
      <c r="I25" s="17">
        <v>666.67</v>
      </c>
      <c r="J25" s="17">
        <v>666.67</v>
      </c>
      <c r="K25" s="17">
        <v>666.67</v>
      </c>
      <c r="L25" s="17">
        <v>666.67</v>
      </c>
      <c r="M25" s="17">
        <v>666.67</v>
      </c>
      <c r="N25" s="16">
        <v>666.67</v>
      </c>
      <c r="P25" s="117" t="s">
        <v>100</v>
      </c>
      <c r="Q25" s="17">
        <v>11217</v>
      </c>
      <c r="R25" s="48">
        <f t="shared" si="5"/>
        <v>934.75</v>
      </c>
      <c r="S25" s="14">
        <v>934.75</v>
      </c>
    </row>
    <row r="26" spans="1:22" x14ac:dyDescent="0.25">
      <c r="A26" s="100" t="s">
        <v>101</v>
      </c>
      <c r="B26" s="49">
        <v>500</v>
      </c>
      <c r="C26" s="17">
        <v>500</v>
      </c>
      <c r="D26" s="17">
        <v>500</v>
      </c>
      <c r="E26" s="17">
        <v>500</v>
      </c>
      <c r="F26" s="17">
        <v>500</v>
      </c>
      <c r="G26" s="17">
        <v>500</v>
      </c>
      <c r="H26" s="17">
        <v>500</v>
      </c>
      <c r="I26" s="17">
        <v>500</v>
      </c>
      <c r="J26" s="17">
        <v>500</v>
      </c>
      <c r="K26" s="17">
        <v>500</v>
      </c>
      <c r="L26" s="17">
        <v>500</v>
      </c>
      <c r="M26" s="17">
        <v>500</v>
      </c>
      <c r="N26" s="16">
        <v>500</v>
      </c>
      <c r="P26" s="117" t="s">
        <v>84</v>
      </c>
      <c r="Q26" s="17">
        <v>5688.6</v>
      </c>
      <c r="R26" s="48">
        <f t="shared" si="5"/>
        <v>474.05</v>
      </c>
      <c r="S26" s="14">
        <v>474.05</v>
      </c>
    </row>
    <row r="27" spans="1:22" x14ac:dyDescent="0.25">
      <c r="A27" s="100" t="s">
        <v>102</v>
      </c>
      <c r="B27" s="49">
        <v>1125</v>
      </c>
      <c r="C27" s="17">
        <v>1125</v>
      </c>
      <c r="D27" s="17">
        <v>1125</v>
      </c>
      <c r="E27" s="17">
        <v>1125</v>
      </c>
      <c r="F27" s="17">
        <v>1125</v>
      </c>
      <c r="G27" s="17">
        <v>1125</v>
      </c>
      <c r="H27" s="17">
        <v>1125</v>
      </c>
      <c r="I27" s="17">
        <v>1125</v>
      </c>
      <c r="J27" s="17">
        <v>1125</v>
      </c>
      <c r="K27" s="17">
        <v>1125</v>
      </c>
      <c r="L27" s="17">
        <v>1125</v>
      </c>
      <c r="M27" s="17">
        <v>1125</v>
      </c>
      <c r="N27" s="16">
        <v>1125</v>
      </c>
      <c r="P27" s="117" t="s">
        <v>85</v>
      </c>
      <c r="Q27" s="17">
        <v>1368</v>
      </c>
      <c r="R27" s="48">
        <f t="shared" si="5"/>
        <v>114</v>
      </c>
      <c r="S27" s="14">
        <v>114</v>
      </c>
      <c r="V27" s="14">
        <v>43776</v>
      </c>
    </row>
    <row r="28" spans="1:22" x14ac:dyDescent="0.25">
      <c r="A28" s="100" t="s">
        <v>114</v>
      </c>
      <c r="B28" s="49">
        <v>4387.5</v>
      </c>
      <c r="C28" s="17">
        <v>4387.5</v>
      </c>
      <c r="D28" s="17">
        <v>4387.5</v>
      </c>
      <c r="E28" s="17">
        <v>4387.5</v>
      </c>
      <c r="F28" s="17">
        <v>4387.5</v>
      </c>
      <c r="G28" s="17">
        <v>4387.5</v>
      </c>
      <c r="H28" s="17">
        <v>4387.5</v>
      </c>
      <c r="I28" s="17">
        <v>4387.5</v>
      </c>
      <c r="J28" s="17">
        <v>4387.5</v>
      </c>
      <c r="K28" s="17">
        <v>4387.5</v>
      </c>
      <c r="L28" s="17">
        <v>4387.5</v>
      </c>
      <c r="M28" s="17">
        <v>4387.5</v>
      </c>
      <c r="N28" s="16">
        <v>4387.5</v>
      </c>
      <c r="P28" s="117" t="s">
        <v>117</v>
      </c>
      <c r="Q28" s="17">
        <v>412.85</v>
      </c>
      <c r="R28" s="48">
        <f t="shared" si="5"/>
        <v>34.404166666666669</v>
      </c>
      <c r="S28" s="14">
        <v>34.4</v>
      </c>
      <c r="V28" s="14">
        <v>-2007.6</v>
      </c>
    </row>
    <row r="29" spans="1:22" ht="15.75" thickBot="1" x14ac:dyDescent="0.3">
      <c r="A29" s="101" t="s">
        <v>42</v>
      </c>
      <c r="B29" s="75">
        <f>SUM(B24:B28)</f>
        <v>4671.57</v>
      </c>
      <c r="C29" s="41">
        <f>SUM(C24:C28)</f>
        <v>5119.54</v>
      </c>
      <c r="D29" s="41">
        <f>SUM(D24:D28)</f>
        <v>5567.51</v>
      </c>
      <c r="E29" s="41">
        <f t="shared" ref="E29:N29" si="7">SUM(E24:E28)</f>
        <v>6015.4800000000005</v>
      </c>
      <c r="F29" s="41">
        <f t="shared" si="7"/>
        <v>6463.4500000000007</v>
      </c>
      <c r="G29" s="41">
        <f t="shared" si="7"/>
        <v>6911.420000000001</v>
      </c>
      <c r="H29" s="41">
        <f t="shared" si="7"/>
        <v>7359.3900000000012</v>
      </c>
      <c r="I29" s="41">
        <f t="shared" si="7"/>
        <v>7807.3600000000015</v>
      </c>
      <c r="J29" s="41">
        <f t="shared" si="7"/>
        <v>8255.3300000000017</v>
      </c>
      <c r="K29" s="41">
        <f t="shared" si="7"/>
        <v>8703.3000000000029</v>
      </c>
      <c r="L29" s="41">
        <f t="shared" si="7"/>
        <v>9151.2700000000041</v>
      </c>
      <c r="M29" s="41">
        <f t="shared" si="7"/>
        <v>9599.2400000000052</v>
      </c>
      <c r="N29" s="42">
        <f t="shared" si="7"/>
        <v>10047.210000000006</v>
      </c>
      <c r="P29" s="126" t="s">
        <v>156</v>
      </c>
      <c r="Q29" s="33"/>
      <c r="R29" s="34"/>
    </row>
    <row r="30" spans="1:22" ht="15.75" thickBot="1" x14ac:dyDescent="0.3">
      <c r="A30" s="107" t="s">
        <v>120</v>
      </c>
      <c r="B30" s="72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4"/>
      <c r="P30" s="117" t="s">
        <v>103</v>
      </c>
      <c r="Q30" s="17">
        <v>8000</v>
      </c>
      <c r="R30" s="16">
        <f>SUM(Q30/12)</f>
        <v>666.66666666666663</v>
      </c>
    </row>
    <row r="31" spans="1:22" x14ac:dyDescent="0.25">
      <c r="A31" s="108" t="s">
        <v>130</v>
      </c>
      <c r="B31" s="76">
        <v>3648</v>
      </c>
      <c r="C31" s="77">
        <v>3648</v>
      </c>
      <c r="D31" s="77">
        <v>3648</v>
      </c>
      <c r="E31" s="77">
        <v>3648</v>
      </c>
      <c r="F31" s="77">
        <v>3648</v>
      </c>
      <c r="G31" s="77">
        <v>3648</v>
      </c>
      <c r="H31" s="77">
        <v>3648</v>
      </c>
      <c r="I31" s="77">
        <v>3648</v>
      </c>
      <c r="J31" s="77">
        <v>3648</v>
      </c>
      <c r="K31" s="77">
        <v>3648</v>
      </c>
      <c r="L31" s="77">
        <v>3648</v>
      </c>
      <c r="M31" s="77">
        <v>3648</v>
      </c>
      <c r="N31" s="78">
        <v>3648</v>
      </c>
      <c r="P31" s="117" t="s">
        <v>101</v>
      </c>
      <c r="Q31" s="17">
        <v>6000</v>
      </c>
      <c r="R31" s="16">
        <f>SUM(Q31/12)</f>
        <v>500</v>
      </c>
    </row>
    <row r="32" spans="1:22" x14ac:dyDescent="0.25">
      <c r="A32" s="109" t="s">
        <v>131</v>
      </c>
      <c r="B32" s="49">
        <v>190</v>
      </c>
      <c r="C32" s="17">
        <v>190</v>
      </c>
      <c r="D32" s="17">
        <v>190</v>
      </c>
      <c r="E32" s="17">
        <v>190</v>
      </c>
      <c r="F32" s="17">
        <v>190</v>
      </c>
      <c r="G32" s="17">
        <v>190</v>
      </c>
      <c r="H32" s="17">
        <v>190</v>
      </c>
      <c r="I32" s="17">
        <v>190</v>
      </c>
      <c r="J32" s="17">
        <v>190</v>
      </c>
      <c r="K32" s="17">
        <v>190</v>
      </c>
      <c r="L32" s="17">
        <v>190</v>
      </c>
      <c r="M32" s="17">
        <v>190</v>
      </c>
      <c r="N32" s="16">
        <v>190</v>
      </c>
      <c r="P32" s="117" t="s">
        <v>102</v>
      </c>
      <c r="Q32" s="17">
        <v>13500</v>
      </c>
      <c r="R32" s="16">
        <f>SUM(Q32/12)</f>
        <v>1125</v>
      </c>
      <c r="S32">
        <v>666.67</v>
      </c>
    </row>
    <row r="33" spans="1:19" ht="15.75" thickBot="1" x14ac:dyDescent="0.3">
      <c r="A33" s="109" t="s">
        <v>100</v>
      </c>
      <c r="B33" s="49">
        <v>76</v>
      </c>
      <c r="C33" s="17">
        <v>76</v>
      </c>
      <c r="D33" s="17">
        <v>76</v>
      </c>
      <c r="E33" s="17">
        <v>76</v>
      </c>
      <c r="F33" s="17">
        <v>76</v>
      </c>
      <c r="G33" s="17">
        <v>76</v>
      </c>
      <c r="H33" s="17">
        <v>76</v>
      </c>
      <c r="I33" s="17">
        <v>76</v>
      </c>
      <c r="J33" s="17">
        <v>76</v>
      </c>
      <c r="K33" s="17">
        <v>76</v>
      </c>
      <c r="L33" s="17">
        <v>76</v>
      </c>
      <c r="M33" s="17">
        <v>76</v>
      </c>
      <c r="N33" s="16">
        <v>76</v>
      </c>
      <c r="P33" s="119" t="s">
        <v>114</v>
      </c>
      <c r="Q33" s="123">
        <v>52650</v>
      </c>
      <c r="R33" s="42">
        <f>SUM(Q33/12)</f>
        <v>4387.5</v>
      </c>
      <c r="S33">
        <v>500</v>
      </c>
    </row>
    <row r="34" spans="1:19" x14ac:dyDescent="0.25">
      <c r="A34" s="109" t="s">
        <v>137</v>
      </c>
      <c r="B34" s="49">
        <v>760</v>
      </c>
      <c r="C34" s="17">
        <v>760</v>
      </c>
      <c r="D34" s="17">
        <v>760</v>
      </c>
      <c r="E34" s="17">
        <v>760</v>
      </c>
      <c r="F34" s="17">
        <v>760</v>
      </c>
      <c r="G34" s="17">
        <v>760</v>
      </c>
      <c r="H34" s="17">
        <v>760</v>
      </c>
      <c r="I34" s="17">
        <v>760</v>
      </c>
      <c r="J34" s="17">
        <v>760</v>
      </c>
      <c r="K34" s="17">
        <v>760</v>
      </c>
      <c r="L34" s="17">
        <v>760</v>
      </c>
      <c r="M34" s="17">
        <v>760</v>
      </c>
      <c r="N34" s="16">
        <v>760</v>
      </c>
      <c r="S34">
        <v>1125</v>
      </c>
    </row>
    <row r="35" spans="1:19" x14ac:dyDescent="0.25">
      <c r="A35" s="109" t="s">
        <v>138</v>
      </c>
      <c r="B35" s="49">
        <v>934.75</v>
      </c>
      <c r="C35" s="17">
        <v>934.75</v>
      </c>
      <c r="D35" s="17">
        <v>934.75</v>
      </c>
      <c r="E35" s="17">
        <v>934.75</v>
      </c>
      <c r="F35" s="17">
        <v>934.75</v>
      </c>
      <c r="G35" s="17">
        <v>934.75</v>
      </c>
      <c r="H35" s="17">
        <v>934.75</v>
      </c>
      <c r="I35" s="17">
        <v>934.75</v>
      </c>
      <c r="J35" s="17">
        <v>934.75</v>
      </c>
      <c r="K35" s="17">
        <v>934.75</v>
      </c>
      <c r="L35" s="17">
        <v>934.75</v>
      </c>
      <c r="M35" s="17">
        <v>934.75</v>
      </c>
      <c r="N35" s="16">
        <v>934.75</v>
      </c>
      <c r="S35">
        <v>4387.5</v>
      </c>
    </row>
    <row r="36" spans="1:19" x14ac:dyDescent="0.25">
      <c r="A36" s="110" t="s">
        <v>117</v>
      </c>
      <c r="B36" s="49">
        <v>474.05</v>
      </c>
      <c r="C36" s="17">
        <v>474.05</v>
      </c>
      <c r="D36" s="17">
        <v>474.05</v>
      </c>
      <c r="E36" s="17">
        <v>474.05</v>
      </c>
      <c r="F36" s="17">
        <v>474.05</v>
      </c>
      <c r="G36" s="17">
        <v>474.05</v>
      </c>
      <c r="H36" s="17">
        <v>474.05</v>
      </c>
      <c r="I36" s="17">
        <v>474.05</v>
      </c>
      <c r="J36" s="17">
        <v>474.05</v>
      </c>
      <c r="K36" s="17">
        <v>474.05</v>
      </c>
      <c r="L36" s="17">
        <v>474.05</v>
      </c>
      <c r="M36" s="17">
        <v>474.05</v>
      </c>
      <c r="N36" s="16">
        <v>474.05</v>
      </c>
    </row>
    <row r="37" spans="1:19" x14ac:dyDescent="0.25">
      <c r="A37" s="109" t="s">
        <v>143</v>
      </c>
      <c r="B37" s="49">
        <v>114</v>
      </c>
      <c r="C37" s="17">
        <v>114</v>
      </c>
      <c r="D37" s="17">
        <v>114</v>
      </c>
      <c r="E37" s="17">
        <v>114</v>
      </c>
      <c r="F37" s="17">
        <v>114</v>
      </c>
      <c r="G37" s="17">
        <v>114</v>
      </c>
      <c r="H37" s="17">
        <v>114</v>
      </c>
      <c r="I37" s="17">
        <v>114</v>
      </c>
      <c r="J37" s="17">
        <v>114</v>
      </c>
      <c r="K37" s="17">
        <v>114</v>
      </c>
      <c r="L37" s="17">
        <v>114</v>
      </c>
      <c r="M37" s="17">
        <v>114</v>
      </c>
      <c r="N37" s="16">
        <v>114</v>
      </c>
    </row>
    <row r="38" spans="1:19" x14ac:dyDescent="0.25">
      <c r="A38" s="109" t="s">
        <v>144</v>
      </c>
      <c r="B38" s="49">
        <v>34.4</v>
      </c>
      <c r="C38" s="17">
        <v>34.4</v>
      </c>
      <c r="D38" s="17">
        <v>34.4</v>
      </c>
      <c r="E38" s="17">
        <v>34.4</v>
      </c>
      <c r="F38" s="17">
        <v>34.4</v>
      </c>
      <c r="G38" s="17">
        <v>34.4</v>
      </c>
      <c r="H38" s="17">
        <v>34.4</v>
      </c>
      <c r="I38" s="17">
        <v>34.4</v>
      </c>
      <c r="J38" s="17">
        <v>34.4</v>
      </c>
      <c r="K38" s="17">
        <v>34.4</v>
      </c>
      <c r="L38" s="17">
        <v>34.4</v>
      </c>
      <c r="M38" s="17">
        <v>34.4</v>
      </c>
      <c r="N38" s="16">
        <v>34.4</v>
      </c>
    </row>
    <row r="39" spans="1:19" ht="15.75" thickBot="1" x14ac:dyDescent="0.3">
      <c r="A39" s="111"/>
      <c r="B39" s="75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2"/>
    </row>
    <row r="40" spans="1:19" ht="15.75" thickBot="1" x14ac:dyDescent="0.3">
      <c r="A40" s="112" t="s">
        <v>42</v>
      </c>
      <c r="B40" s="75">
        <f t="shared" ref="B40:N40" si="8">SUM(B31:B38)</f>
        <v>6231.2</v>
      </c>
      <c r="C40" s="41">
        <f t="shared" si="8"/>
        <v>6231.2</v>
      </c>
      <c r="D40" s="41">
        <f t="shared" si="8"/>
        <v>6231.2</v>
      </c>
      <c r="E40" s="41">
        <f t="shared" si="8"/>
        <v>6231.2</v>
      </c>
      <c r="F40" s="41">
        <f t="shared" si="8"/>
        <v>6231.2</v>
      </c>
      <c r="G40" s="41">
        <f t="shared" si="8"/>
        <v>6231.2</v>
      </c>
      <c r="H40" s="41">
        <f t="shared" si="8"/>
        <v>6231.2</v>
      </c>
      <c r="I40" s="41">
        <f t="shared" si="8"/>
        <v>6231.2</v>
      </c>
      <c r="J40" s="41">
        <f t="shared" si="8"/>
        <v>6231.2</v>
      </c>
      <c r="K40" s="41">
        <f t="shared" si="8"/>
        <v>6231.2</v>
      </c>
      <c r="L40" s="41">
        <f t="shared" si="8"/>
        <v>6231.2</v>
      </c>
      <c r="M40" s="41">
        <f t="shared" si="8"/>
        <v>6231.2</v>
      </c>
      <c r="N40" s="42">
        <f t="shared" si="8"/>
        <v>6231.2</v>
      </c>
    </row>
    <row r="41" spans="1:19" ht="15.75" thickBot="1" x14ac:dyDescent="0.3">
      <c r="A41" s="114" t="s">
        <v>141</v>
      </c>
      <c r="B41" s="75">
        <f t="shared" ref="B41:N41" si="9">SUM(B29-B40)</f>
        <v>-1559.63</v>
      </c>
      <c r="C41" s="41">
        <f t="shared" si="9"/>
        <v>-1111.6599999999999</v>
      </c>
      <c r="D41" s="41">
        <f t="shared" si="9"/>
        <v>-663.6899999999996</v>
      </c>
      <c r="E41" s="41">
        <f t="shared" si="9"/>
        <v>-215.71999999999935</v>
      </c>
      <c r="F41" s="41">
        <f t="shared" si="9"/>
        <v>232.25000000000091</v>
      </c>
      <c r="G41" s="41">
        <f t="shared" si="9"/>
        <v>680.22000000000116</v>
      </c>
      <c r="H41" s="41">
        <f t="shared" si="9"/>
        <v>1128.1900000000014</v>
      </c>
      <c r="I41" s="41">
        <f t="shared" si="9"/>
        <v>1576.1600000000017</v>
      </c>
      <c r="J41" s="41">
        <f t="shared" si="9"/>
        <v>2024.1300000000019</v>
      </c>
      <c r="K41" s="41">
        <f t="shared" si="9"/>
        <v>2472.1000000000031</v>
      </c>
      <c r="L41" s="41">
        <f t="shared" si="9"/>
        <v>2920.0700000000043</v>
      </c>
      <c r="M41" s="41">
        <f t="shared" si="9"/>
        <v>3368.0400000000054</v>
      </c>
      <c r="N41" s="42">
        <f t="shared" si="9"/>
        <v>3816.0100000000066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6"/>
  <sheetViews>
    <sheetView workbookViewId="0">
      <selection activeCell="G10" sqref="G10"/>
    </sheetView>
  </sheetViews>
  <sheetFormatPr defaultRowHeight="15" x14ac:dyDescent="0.25"/>
  <cols>
    <col min="1" max="1" width="22.28515625" bestFit="1" customWidth="1"/>
    <col min="3" max="3" width="10.7109375" bestFit="1" customWidth="1"/>
    <col min="4" max="4" width="11" bestFit="1" customWidth="1"/>
  </cols>
  <sheetData>
    <row r="1" spans="1:4" ht="15.75" thickBot="1" x14ac:dyDescent="0.3">
      <c r="A1" s="95" t="s">
        <v>140</v>
      </c>
      <c r="B1" s="96" t="s">
        <v>145</v>
      </c>
      <c r="C1" s="97" t="s">
        <v>146</v>
      </c>
      <c r="D1" s="98" t="s">
        <v>147</v>
      </c>
    </row>
    <row r="2" spans="1:4" x14ac:dyDescent="0.25">
      <c r="A2" s="85" t="s">
        <v>148</v>
      </c>
      <c r="B2" s="33">
        <v>8</v>
      </c>
      <c r="C2" s="33">
        <v>20</v>
      </c>
      <c r="D2" s="34">
        <f>C2*B2</f>
        <v>160</v>
      </c>
    </row>
    <row r="3" spans="1:4" x14ac:dyDescent="0.25">
      <c r="A3" s="85"/>
      <c r="B3" s="33"/>
      <c r="C3" s="33"/>
      <c r="D3" s="34"/>
    </row>
    <row r="4" spans="1:4" ht="15.75" thickBot="1" x14ac:dyDescent="0.3">
      <c r="A4" s="85"/>
      <c r="B4" s="33"/>
      <c r="C4" s="33"/>
      <c r="D4" s="34"/>
    </row>
    <row r="5" spans="1:4" ht="15.75" thickBot="1" x14ac:dyDescent="0.3">
      <c r="A5" s="85" t="s">
        <v>139</v>
      </c>
      <c r="B5" s="96" t="s">
        <v>145</v>
      </c>
      <c r="C5" s="97" t="s">
        <v>146</v>
      </c>
      <c r="D5" s="98" t="s">
        <v>147</v>
      </c>
    </row>
    <row r="6" spans="1:4" ht="15.75" thickBot="1" x14ac:dyDescent="0.3">
      <c r="A6" s="86" t="s">
        <v>148</v>
      </c>
      <c r="B6" s="35">
        <v>1920</v>
      </c>
      <c r="C6" s="35">
        <v>20</v>
      </c>
      <c r="D6" s="36">
        <f>C6*B6</f>
        <v>38400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43"/>
  <sheetViews>
    <sheetView workbookViewId="0">
      <selection activeCell="E49" sqref="E49"/>
    </sheetView>
  </sheetViews>
  <sheetFormatPr defaultRowHeight="15" x14ac:dyDescent="0.25"/>
  <cols>
    <col min="1" max="1" width="11.5703125" bestFit="1" customWidth="1"/>
    <col min="2" max="2" width="16.7109375" bestFit="1" customWidth="1"/>
    <col min="3" max="3" width="11.5703125" bestFit="1" customWidth="1"/>
    <col min="4" max="4" width="26.85546875" bestFit="1" customWidth="1"/>
    <col min="5" max="5" width="11.5703125" bestFit="1" customWidth="1"/>
    <col min="7" max="7" width="26.85546875" bestFit="1" customWidth="1"/>
    <col min="8" max="8" width="11.5703125" bestFit="1" customWidth="1"/>
    <col min="11" max="11" width="11.5703125" bestFit="1" customWidth="1"/>
    <col min="13" max="13" width="11.5703125" bestFit="1" customWidth="1"/>
    <col min="16" max="17" width="11.85546875" bestFit="1" customWidth="1"/>
  </cols>
  <sheetData>
    <row r="1" spans="1:16" ht="15.75" thickBot="1" x14ac:dyDescent="0.3">
      <c r="A1" s="89"/>
      <c r="B1" s="93" t="s">
        <v>150</v>
      </c>
      <c r="C1" s="94" t="s">
        <v>151</v>
      </c>
      <c r="D1" s="96"/>
      <c r="E1" s="93" t="s">
        <v>152</v>
      </c>
      <c r="F1" s="93" t="s">
        <v>153</v>
      </c>
      <c r="G1" s="94"/>
    </row>
    <row r="2" spans="1:16" x14ac:dyDescent="0.25">
      <c r="A2" s="90" t="s">
        <v>123</v>
      </c>
      <c r="B2" s="17">
        <v>1516.67</v>
      </c>
      <c r="C2" s="16">
        <f>B2</f>
        <v>1516.67</v>
      </c>
      <c r="D2" s="116" t="s">
        <v>103</v>
      </c>
      <c r="E2" s="17">
        <v>2000</v>
      </c>
      <c r="F2" s="23">
        <f>E2/12</f>
        <v>166.66666666666666</v>
      </c>
      <c r="G2" s="34">
        <v>166.67</v>
      </c>
    </row>
    <row r="3" spans="1:16" x14ac:dyDescent="0.25">
      <c r="A3" s="91" t="s">
        <v>124</v>
      </c>
      <c r="B3" s="17">
        <v>1516.67</v>
      </c>
      <c r="C3" s="16">
        <f>SUM(B3+C2)</f>
        <v>3033.34</v>
      </c>
      <c r="D3" s="117" t="s">
        <v>101</v>
      </c>
      <c r="E3" s="17">
        <v>1500</v>
      </c>
      <c r="F3" s="23">
        <f t="shared" ref="F3:F4" si="0">E3/12</f>
        <v>125</v>
      </c>
      <c r="G3" s="34">
        <v>125</v>
      </c>
    </row>
    <row r="4" spans="1:16" x14ac:dyDescent="0.25">
      <c r="A4" s="91" t="s">
        <v>125</v>
      </c>
      <c r="B4" s="17">
        <v>1516.67</v>
      </c>
      <c r="C4" s="16">
        <f t="shared" ref="C4:C13" si="1">SUM(B4+C3)</f>
        <v>4550.01</v>
      </c>
      <c r="D4" s="117" t="s">
        <v>102</v>
      </c>
      <c r="E4" s="17">
        <v>3000</v>
      </c>
      <c r="F4" s="23">
        <f t="shared" si="0"/>
        <v>250</v>
      </c>
      <c r="G4" s="34">
        <v>250</v>
      </c>
    </row>
    <row r="5" spans="1:16" ht="15.75" thickBot="1" x14ac:dyDescent="0.3">
      <c r="A5" s="91" t="s">
        <v>126</v>
      </c>
      <c r="B5" s="17">
        <v>1516.67</v>
      </c>
      <c r="C5" s="16">
        <f t="shared" si="1"/>
        <v>6066.68</v>
      </c>
      <c r="D5" s="119" t="s">
        <v>114</v>
      </c>
      <c r="E5" s="41">
        <v>11700</v>
      </c>
      <c r="F5" s="68">
        <f>E5/12</f>
        <v>975</v>
      </c>
      <c r="G5" s="36">
        <v>975</v>
      </c>
    </row>
    <row r="6" spans="1:16" x14ac:dyDescent="0.25">
      <c r="A6" s="91" t="s">
        <v>127</v>
      </c>
      <c r="B6" s="17">
        <v>1516.67</v>
      </c>
      <c r="C6" s="16">
        <f t="shared" si="1"/>
        <v>7583.35</v>
      </c>
    </row>
    <row r="7" spans="1:16" x14ac:dyDescent="0.25">
      <c r="A7" s="91" t="s">
        <v>128</v>
      </c>
      <c r="B7" s="17">
        <v>1516.67</v>
      </c>
      <c r="C7" s="16">
        <f t="shared" si="1"/>
        <v>9100.02</v>
      </c>
    </row>
    <row r="8" spans="1:16" x14ac:dyDescent="0.25">
      <c r="A8" s="91" t="s">
        <v>129</v>
      </c>
      <c r="B8" s="17">
        <v>1516.67</v>
      </c>
      <c r="C8" s="16">
        <f t="shared" si="1"/>
        <v>10616.69</v>
      </c>
      <c r="E8" s="81">
        <v>0.01</v>
      </c>
      <c r="P8" s="81"/>
    </row>
    <row r="9" spans="1:16" x14ac:dyDescent="0.25">
      <c r="A9" s="91" t="s">
        <v>132</v>
      </c>
      <c r="B9" s="17">
        <v>1516.67</v>
      </c>
      <c r="C9" s="16">
        <f t="shared" si="1"/>
        <v>12133.36</v>
      </c>
      <c r="E9" s="15">
        <f>B2*0.01</f>
        <v>15.166700000000001</v>
      </c>
    </row>
    <row r="10" spans="1:16" x14ac:dyDescent="0.25">
      <c r="A10" s="91" t="s">
        <v>133</v>
      </c>
      <c r="B10" s="17">
        <v>1516.67</v>
      </c>
      <c r="C10" s="16">
        <f t="shared" si="1"/>
        <v>13650.03</v>
      </c>
    </row>
    <row r="11" spans="1:16" x14ac:dyDescent="0.25">
      <c r="A11" s="91" t="s">
        <v>134</v>
      </c>
      <c r="B11" s="17">
        <v>1516.67</v>
      </c>
      <c r="C11" s="16">
        <f t="shared" si="1"/>
        <v>15166.7</v>
      </c>
    </row>
    <row r="12" spans="1:16" x14ac:dyDescent="0.25">
      <c r="A12" s="91" t="s">
        <v>135</v>
      </c>
      <c r="B12" s="17">
        <v>1516.67</v>
      </c>
      <c r="C12" s="16">
        <f t="shared" si="1"/>
        <v>16683.370000000003</v>
      </c>
    </row>
    <row r="13" spans="1:16" ht="15.75" thickBot="1" x14ac:dyDescent="0.3">
      <c r="A13" s="92" t="s">
        <v>136</v>
      </c>
      <c r="B13" s="41">
        <v>1516.67</v>
      </c>
      <c r="C13" s="42">
        <f t="shared" si="1"/>
        <v>18200.04</v>
      </c>
    </row>
    <row r="16" spans="1:16" ht="15.75" thickBot="1" x14ac:dyDescent="0.3"/>
    <row r="17" spans="1:3" ht="15.75" thickBot="1" x14ac:dyDescent="0.3">
      <c r="A17" s="89" t="s">
        <v>154</v>
      </c>
      <c r="B17" s="93" t="s">
        <v>150</v>
      </c>
      <c r="C17" s="94" t="s">
        <v>151</v>
      </c>
    </row>
    <row r="18" spans="1:3" x14ac:dyDescent="0.25">
      <c r="A18" s="90" t="s">
        <v>123</v>
      </c>
      <c r="B18" s="33">
        <v>1516.67</v>
      </c>
      <c r="C18" s="34">
        <f>B18</f>
        <v>1516.67</v>
      </c>
    </row>
    <row r="19" spans="1:3" x14ac:dyDescent="0.25">
      <c r="A19" s="91" t="s">
        <v>124</v>
      </c>
      <c r="B19" s="23">
        <f>B18+15.17</f>
        <v>1531.8400000000001</v>
      </c>
      <c r="C19" s="48">
        <f>B19+C18</f>
        <v>3048.51</v>
      </c>
    </row>
    <row r="20" spans="1:3" x14ac:dyDescent="0.25">
      <c r="A20" s="91" t="s">
        <v>125</v>
      </c>
      <c r="B20" s="23">
        <f t="shared" ref="B20:B29" si="2">B19+15.17</f>
        <v>1547.0100000000002</v>
      </c>
      <c r="C20" s="48">
        <f t="shared" ref="C20:C29" si="3">B20+C19</f>
        <v>4595.5200000000004</v>
      </c>
    </row>
    <row r="21" spans="1:3" x14ac:dyDescent="0.25">
      <c r="A21" s="91" t="s">
        <v>126</v>
      </c>
      <c r="B21" s="23">
        <f t="shared" si="2"/>
        <v>1562.1800000000003</v>
      </c>
      <c r="C21" s="48">
        <f t="shared" si="3"/>
        <v>6157.7000000000007</v>
      </c>
    </row>
    <row r="22" spans="1:3" x14ac:dyDescent="0.25">
      <c r="A22" s="91" t="s">
        <v>127</v>
      </c>
      <c r="B22" s="23">
        <f t="shared" si="2"/>
        <v>1577.3500000000004</v>
      </c>
      <c r="C22" s="48">
        <f t="shared" si="3"/>
        <v>7735.0500000000011</v>
      </c>
    </row>
    <row r="23" spans="1:3" x14ac:dyDescent="0.25">
      <c r="A23" s="91" t="s">
        <v>128</v>
      </c>
      <c r="B23" s="23">
        <f t="shared" si="2"/>
        <v>1592.5200000000004</v>
      </c>
      <c r="C23" s="48">
        <f t="shared" si="3"/>
        <v>9327.5700000000015</v>
      </c>
    </row>
    <row r="24" spans="1:3" x14ac:dyDescent="0.25">
      <c r="A24" s="91" t="s">
        <v>129</v>
      </c>
      <c r="B24" s="23">
        <f t="shared" si="2"/>
        <v>1607.6900000000005</v>
      </c>
      <c r="C24" s="48">
        <f t="shared" si="3"/>
        <v>10935.260000000002</v>
      </c>
    </row>
    <row r="25" spans="1:3" x14ac:dyDescent="0.25">
      <c r="A25" s="91" t="s">
        <v>132</v>
      </c>
      <c r="B25" s="23">
        <f t="shared" si="2"/>
        <v>1622.8600000000006</v>
      </c>
      <c r="C25" s="48">
        <f t="shared" si="3"/>
        <v>12558.120000000003</v>
      </c>
    </row>
    <row r="26" spans="1:3" x14ac:dyDescent="0.25">
      <c r="A26" s="91" t="s">
        <v>133</v>
      </c>
      <c r="B26" s="23">
        <f t="shared" si="2"/>
        <v>1638.0300000000007</v>
      </c>
      <c r="C26" s="48">
        <f t="shared" si="3"/>
        <v>14196.150000000003</v>
      </c>
    </row>
    <row r="27" spans="1:3" x14ac:dyDescent="0.25">
      <c r="A27" s="91" t="s">
        <v>134</v>
      </c>
      <c r="B27" s="23">
        <f t="shared" si="2"/>
        <v>1653.2000000000007</v>
      </c>
      <c r="C27" s="48">
        <f t="shared" si="3"/>
        <v>15849.350000000004</v>
      </c>
    </row>
    <row r="28" spans="1:3" x14ac:dyDescent="0.25">
      <c r="A28" s="91" t="s">
        <v>135</v>
      </c>
      <c r="B28" s="23">
        <f t="shared" si="2"/>
        <v>1668.3700000000008</v>
      </c>
      <c r="C28" s="48">
        <f t="shared" si="3"/>
        <v>17517.720000000005</v>
      </c>
    </row>
    <row r="29" spans="1:3" ht="15.75" thickBot="1" x14ac:dyDescent="0.3">
      <c r="A29" s="92" t="s">
        <v>136</v>
      </c>
      <c r="B29" s="68">
        <f t="shared" si="2"/>
        <v>1683.5400000000009</v>
      </c>
      <c r="C29" s="69">
        <f t="shared" si="3"/>
        <v>19201.260000000006</v>
      </c>
    </row>
    <row r="30" spans="1:3" ht="15.75" thickBot="1" x14ac:dyDescent="0.3"/>
    <row r="31" spans="1:3" ht="15.75" thickBot="1" x14ac:dyDescent="0.3">
      <c r="A31" s="89" t="s">
        <v>155</v>
      </c>
      <c r="B31" s="93" t="s">
        <v>150</v>
      </c>
      <c r="C31" s="94" t="s">
        <v>151</v>
      </c>
    </row>
    <row r="32" spans="1:3" x14ac:dyDescent="0.25">
      <c r="A32" s="90" t="s">
        <v>123</v>
      </c>
      <c r="B32" s="33">
        <v>1516.67</v>
      </c>
      <c r="C32" s="34">
        <f>B32</f>
        <v>1516.67</v>
      </c>
    </row>
    <row r="33" spans="1:3" x14ac:dyDescent="0.25">
      <c r="A33" s="91" t="s">
        <v>124</v>
      </c>
      <c r="B33" s="23">
        <f>B32-15.17</f>
        <v>1501.5</v>
      </c>
      <c r="C33" s="48">
        <f>B33+C32</f>
        <v>3018.17</v>
      </c>
    </row>
    <row r="34" spans="1:3" x14ac:dyDescent="0.25">
      <c r="A34" s="91" t="s">
        <v>125</v>
      </c>
      <c r="B34" s="23">
        <f t="shared" ref="B34:B43" si="4">B33-15.17</f>
        <v>1486.33</v>
      </c>
      <c r="C34" s="48">
        <f t="shared" ref="C34:C43" si="5">B34+C33</f>
        <v>4504.5</v>
      </c>
    </row>
    <row r="35" spans="1:3" x14ac:dyDescent="0.25">
      <c r="A35" s="91" t="s">
        <v>126</v>
      </c>
      <c r="B35" s="23">
        <f t="shared" si="4"/>
        <v>1471.1599999999999</v>
      </c>
      <c r="C35" s="48">
        <f t="shared" si="5"/>
        <v>5975.66</v>
      </c>
    </row>
    <row r="36" spans="1:3" x14ac:dyDescent="0.25">
      <c r="A36" s="91" t="s">
        <v>127</v>
      </c>
      <c r="B36" s="23">
        <f t="shared" si="4"/>
        <v>1455.9899999999998</v>
      </c>
      <c r="C36" s="48">
        <f t="shared" si="5"/>
        <v>7431.65</v>
      </c>
    </row>
    <row r="37" spans="1:3" x14ac:dyDescent="0.25">
      <c r="A37" s="91" t="s">
        <v>128</v>
      </c>
      <c r="B37" s="23">
        <f t="shared" si="4"/>
        <v>1440.8199999999997</v>
      </c>
      <c r="C37" s="48">
        <f t="shared" si="5"/>
        <v>8872.4699999999993</v>
      </c>
    </row>
    <row r="38" spans="1:3" x14ac:dyDescent="0.25">
      <c r="A38" s="91" t="s">
        <v>129</v>
      </c>
      <c r="B38" s="23">
        <f t="shared" si="4"/>
        <v>1425.6499999999996</v>
      </c>
      <c r="C38" s="48">
        <f t="shared" si="5"/>
        <v>10298.119999999999</v>
      </c>
    </row>
    <row r="39" spans="1:3" x14ac:dyDescent="0.25">
      <c r="A39" s="91" t="s">
        <v>132</v>
      </c>
      <c r="B39" s="23">
        <f t="shared" si="4"/>
        <v>1410.4799999999996</v>
      </c>
      <c r="C39" s="48">
        <f t="shared" si="5"/>
        <v>11708.599999999999</v>
      </c>
    </row>
    <row r="40" spans="1:3" x14ac:dyDescent="0.25">
      <c r="A40" s="91" t="s">
        <v>133</v>
      </c>
      <c r="B40" s="23">
        <f t="shared" si="4"/>
        <v>1395.3099999999995</v>
      </c>
      <c r="C40" s="48">
        <f t="shared" si="5"/>
        <v>13103.909999999998</v>
      </c>
    </row>
    <row r="41" spans="1:3" x14ac:dyDescent="0.25">
      <c r="A41" s="91" t="s">
        <v>134</v>
      </c>
      <c r="B41" s="23">
        <f t="shared" si="4"/>
        <v>1380.1399999999994</v>
      </c>
      <c r="C41" s="48">
        <f t="shared" si="5"/>
        <v>14484.049999999997</v>
      </c>
    </row>
    <row r="42" spans="1:3" x14ac:dyDescent="0.25">
      <c r="A42" s="91" t="s">
        <v>135</v>
      </c>
      <c r="B42" s="23">
        <f t="shared" si="4"/>
        <v>1364.9699999999993</v>
      </c>
      <c r="C42" s="48">
        <f t="shared" si="5"/>
        <v>15849.019999999997</v>
      </c>
    </row>
    <row r="43" spans="1:3" ht="15.75" thickBot="1" x14ac:dyDescent="0.3">
      <c r="A43" s="92" t="s">
        <v>136</v>
      </c>
      <c r="B43" s="68">
        <f t="shared" si="4"/>
        <v>1349.7999999999993</v>
      </c>
      <c r="C43" s="69">
        <f t="shared" si="5"/>
        <v>17198.819999999996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Powerpoint</vt:lpstr>
      <vt:lpstr>Draft 1</vt:lpstr>
      <vt:lpstr>Draft 2</vt:lpstr>
      <vt:lpstr>Break Even</vt:lpstr>
      <vt:lpstr>Cash Flow Forecast </vt:lpstr>
      <vt:lpstr>Cost Analysis </vt:lpstr>
      <vt:lpstr>Sales Forecast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HAR18839665 (Leon Harris)</dc:creator>
  <cp:lastModifiedBy>HAR18839665 (Leon Harris)</cp:lastModifiedBy>
  <dcterms:created xsi:type="dcterms:W3CDTF">2021-10-19T08:40:55Z</dcterms:created>
  <dcterms:modified xsi:type="dcterms:W3CDTF">2022-05-10T12:28:29Z</dcterms:modified>
</cp:coreProperties>
</file>